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g4aLOZ75vnZI2U8zMSLXXdPXC4jIIrVNlbM4upx4HGihrpOqfq80ijGdh56ED4bfRuyxkuzI75uMMGy+ss6fMw==" workbookSaltValue="AxDZwVcsMPSViE1xsfYZOw=="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Datos!$A$5:$X$31</definedName>
    <definedName name="_xlnm._FilterDatabase" localSheetId="12" hidden="1">DatosB!$A$5:$X$31</definedName>
    <definedName name="_Toc505678886" localSheetId="12">DatosB!$DM$28</definedName>
    <definedName name="agrupada">Criterios!$D$13</definedName>
    <definedName name="Año">Criterios!$B$5</definedName>
    <definedName name="_xlnm.Print_Area" localSheetId="0">Criterios!$A$1:$F$18</definedName>
    <definedName name="_xlnm.Print_Area" localSheetId="11">Datos!$A$5:$BM$31</definedName>
    <definedName name="_xlnm.Print_Area" localSheetId="12">DatosB!$A$5:$BM$31</definedName>
    <definedName name="_xlnm.Print_Area" localSheetId="10">Definiciones!$A$1:$B$19</definedName>
    <definedName name="_xlnm.Print_Area" localSheetId="4">'Ejecu  Sentencias'!$A$1:$E$34</definedName>
    <definedName name="_xlnm.Print_Area" localSheetId="8">Evolucion!$C$1:$K$42</definedName>
    <definedName name="_xlnm.Print_Area" localSheetId="5">Evolución!$A$1:$K$35</definedName>
    <definedName name="_xlnm.Print_Area" localSheetId="7">Indicadores!$A$1:$AW$40</definedName>
    <definedName name="_xlnm.Print_Area" localSheetId="13">'Indicadores CA'!$A$1:$BS$40</definedName>
    <definedName name="_xlnm.Print_Area" localSheetId="14">'Indicadores CA Reducida'!$A$1:$AW$40</definedName>
    <definedName name="_xlnm.Print_Area" localSheetId="17">'Indicadores Penal'!$A$1:$AZ$40</definedName>
    <definedName name="_xlnm.Print_Area" localSheetId="9">Juez!$A$1:$AD$52</definedName>
    <definedName name="_xlnm.Print_Area" localSheetId="2">Modulos!$A$1:$M$35</definedName>
    <definedName name="_xlnm.Print_Area" localSheetId="1">NºAsuntos!$A$1:$J$35</definedName>
    <definedName name="_xlnm.Print_Area" localSheetId="18">PyL!$A$1:$E$37</definedName>
    <definedName name="_xlnm.Print_Area" localSheetId="3">'Resol  Asuntos'!$A$1:$I$34</definedName>
    <definedName name="_xlnm.Print_Area" localSheetId="19">Resumen!$A$1:$BD$40</definedName>
    <definedName name="_xlnm.Print_Area" localSheetId="6">Tasas!$A$1:$F$35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2" i="21" l="1"/>
  <c r="BB17" i="13" l="1"/>
  <c r="BA17" i="13"/>
  <c r="BB16" i="13"/>
  <c r="BA16" i="13"/>
  <c r="AZ17" i="13"/>
  <c r="AZ16" i="13"/>
  <c r="AY17" i="13"/>
  <c r="AY16" i="13"/>
  <c r="T29" i="14"/>
  <c r="T28" i="14"/>
  <c r="T25" i="14"/>
  <c r="T17" i="14"/>
  <c r="T18" i="14"/>
  <c r="T19" i="14"/>
  <c r="T20" i="14"/>
  <c r="T21" i="14"/>
  <c r="T22" i="14"/>
  <c r="T16" i="14"/>
  <c r="T10" i="14"/>
  <c r="T11" i="14"/>
  <c r="T12" i="14"/>
  <c r="T13" i="14"/>
  <c r="T9" i="14"/>
  <c r="AA5" i="21"/>
  <c r="Z5" i="21"/>
  <c r="U5" i="21"/>
  <c r="S5" i="21"/>
  <c r="S17" i="21"/>
  <c r="S23" i="21" s="1"/>
  <c r="S12" i="21"/>
  <c r="R12" i="17"/>
  <c r="R17" i="17"/>
  <c r="F25" i="17"/>
  <c r="F25" i="16"/>
  <c r="F22" i="20"/>
  <c r="F21" i="20"/>
  <c r="F19" i="20"/>
  <c r="F10" i="17"/>
  <c r="F22" i="17"/>
  <c r="F21" i="17"/>
  <c r="F13" i="17"/>
  <c r="F10" i="16"/>
  <c r="F22" i="16"/>
  <c r="F21" i="16"/>
  <c r="F19" i="16"/>
  <c r="F28" i="17"/>
  <c r="F28" i="16"/>
  <c r="W29" i="16"/>
  <c r="W28" i="16"/>
  <c r="W25" i="16"/>
  <c r="W22" i="16"/>
  <c r="W21" i="16"/>
  <c r="W20" i="16"/>
  <c r="W19" i="16"/>
  <c r="W18" i="16"/>
  <c r="W17" i="16"/>
  <c r="W16" i="16"/>
  <c r="W13" i="16"/>
  <c r="W12" i="16"/>
  <c r="W11" i="16"/>
  <c r="W10" i="16"/>
  <c r="U22" i="20"/>
  <c r="U21" i="20"/>
  <c r="T29" i="17"/>
  <c r="T28" i="17"/>
  <c r="T25" i="17"/>
  <c r="S20" i="20"/>
  <c r="S22" i="20"/>
  <c r="S21" i="20"/>
  <c r="U29" i="16"/>
  <c r="U28" i="16"/>
  <c r="AZ38" i="21"/>
  <c r="AZ37" i="21"/>
  <c r="AY38" i="21"/>
  <c r="AY37" i="21"/>
  <c r="AY38" i="20"/>
  <c r="AY37" i="20"/>
  <c r="AV38" i="17"/>
  <c r="AV37" i="17"/>
  <c r="BR38" i="16"/>
  <c r="BQ38" i="16"/>
  <c r="BR37" i="16"/>
  <c r="BR9" i="16"/>
  <c r="BS37" i="16"/>
  <c r="BS38" i="16" s="1"/>
  <c r="BT37" i="16"/>
  <c r="BT38" i="16" s="1"/>
  <c r="BQ37" i="16"/>
  <c r="K29" i="17"/>
  <c r="F29" i="17" s="1"/>
  <c r="K25" i="17"/>
  <c r="K28" i="17"/>
  <c r="AJ12" i="16"/>
  <c r="AJ9" i="16"/>
  <c r="AE9" i="16"/>
  <c r="AE12" i="16"/>
  <c r="I12" i="16"/>
  <c r="C28" i="10"/>
  <c r="C21" i="10"/>
  <c r="B21" i="10"/>
  <c r="B28" i="10"/>
  <c r="H20" i="10"/>
  <c r="H12" i="21"/>
  <c r="I12" i="21"/>
  <c r="I17" i="20"/>
  <c r="U38" i="20"/>
  <c r="V38" i="20"/>
  <c r="U37" i="20"/>
  <c r="V37" i="20"/>
  <c r="T38" i="17"/>
  <c r="U38" i="17"/>
  <c r="T37" i="17"/>
  <c r="U37" i="17"/>
  <c r="W38" i="16"/>
  <c r="X38" i="16"/>
  <c r="W37" i="16"/>
  <c r="X37" i="16"/>
  <c r="W10" i="21"/>
  <c r="U17" i="20"/>
  <c r="U18" i="20"/>
  <c r="U19" i="20"/>
  <c r="U20" i="20"/>
  <c r="U16" i="20"/>
  <c r="T17" i="17"/>
  <c r="T18" i="17"/>
  <c r="T19" i="17"/>
  <c r="T20" i="17"/>
  <c r="T21" i="17"/>
  <c r="T22" i="17"/>
  <c r="T16" i="17"/>
  <c r="T10" i="17"/>
  <c r="T11" i="17"/>
  <c r="T12" i="17"/>
  <c r="T13" i="17"/>
  <c r="T9" i="17"/>
  <c r="W9" i="16"/>
  <c r="V14" i="20"/>
  <c r="U14" i="20"/>
  <c r="S19" i="20"/>
  <c r="AJ19" i="20"/>
  <c r="AI19" i="20"/>
  <c r="AH19" i="20"/>
  <c r="AG19" i="20"/>
  <c r="BM13" i="16"/>
  <c r="L9" i="16"/>
  <c r="L10" i="16"/>
  <c r="L11" i="16"/>
  <c r="L12" i="16"/>
  <c r="L13" i="16"/>
  <c r="L16" i="16"/>
  <c r="L17" i="16"/>
  <c r="L18" i="16"/>
  <c r="L19" i="16"/>
  <c r="L20" i="16"/>
  <c r="F20" i="16" s="1"/>
  <c r="L21" i="16"/>
  <c r="L22" i="16"/>
  <c r="L25" i="16"/>
  <c r="L28" i="16"/>
  <c r="L29" i="16"/>
  <c r="F29" i="16" s="1"/>
  <c r="L37" i="16"/>
  <c r="L38" i="16"/>
  <c r="K29" i="2"/>
  <c r="K28" i="2"/>
  <c r="K25" i="2"/>
  <c r="K22" i="2"/>
  <c r="K21" i="2"/>
  <c r="K20" i="2"/>
  <c r="K19" i="2"/>
  <c r="K18" i="2"/>
  <c r="K17" i="2"/>
  <c r="K16" i="2"/>
  <c r="K13" i="2"/>
  <c r="K12" i="2"/>
  <c r="K11" i="2"/>
  <c r="K10" i="2"/>
  <c r="K9" i="2"/>
  <c r="AL38" i="16"/>
  <c r="ES14" i="19"/>
  <c r="ES31" i="19" s="1"/>
  <c r="ES14" i="13"/>
  <c r="ES31" i="13" s="1"/>
  <c r="ES14" i="8"/>
  <c r="AJ30" i="16"/>
  <c r="AE30" i="16"/>
  <c r="AJ26" i="16"/>
  <c r="AE26" i="16"/>
  <c r="AJ23" i="16"/>
  <c r="AE23" i="16"/>
  <c r="ER23" i="19"/>
  <c r="ER14" i="19"/>
  <c r="EQ23" i="19"/>
  <c r="EQ14" i="19"/>
  <c r="EP23" i="19"/>
  <c r="EP14" i="19"/>
  <c r="M29" i="10"/>
  <c r="M28" i="10"/>
  <c r="M25" i="10"/>
  <c r="M22" i="10"/>
  <c r="M21" i="10"/>
  <c r="M20" i="10"/>
  <c r="M19" i="10"/>
  <c r="M18" i="10"/>
  <c r="M17" i="10"/>
  <c r="M16" i="10"/>
  <c r="M13" i="10"/>
  <c r="M12" i="10"/>
  <c r="M11" i="10"/>
  <c r="M10" i="10"/>
  <c r="M9" i="10"/>
  <c r="ER30" i="13"/>
  <c r="ER26" i="13"/>
  <c r="ER23" i="13"/>
  <c r="ER14" i="13"/>
  <c r="G29" i="10"/>
  <c r="G28" i="10"/>
  <c r="G25" i="10"/>
  <c r="G22" i="10"/>
  <c r="G21" i="10"/>
  <c r="G20" i="10"/>
  <c r="G19" i="10"/>
  <c r="G18" i="10"/>
  <c r="G17" i="10"/>
  <c r="G16" i="10"/>
  <c r="G13" i="10"/>
  <c r="G12" i="10"/>
  <c r="G11" i="10"/>
  <c r="G10" i="10"/>
  <c r="G9" i="10"/>
  <c r="AX29" i="11"/>
  <c r="AX28" i="11"/>
  <c r="AX25" i="11"/>
  <c r="AX22" i="11"/>
  <c r="AX21" i="11"/>
  <c r="AX20" i="11"/>
  <c r="AX19" i="11"/>
  <c r="AX18" i="11"/>
  <c r="AX17" i="11"/>
  <c r="AX16" i="11"/>
  <c r="AX13" i="11"/>
  <c r="AX12" i="11"/>
  <c r="AX11" i="11"/>
  <c r="AX10" i="11"/>
  <c r="AX9" i="11"/>
  <c r="ER30" i="8"/>
  <c r="ER26" i="8"/>
  <c r="ER23" i="8"/>
  <c r="ER14" i="8"/>
  <c r="EQ23" i="8"/>
  <c r="EQ14" i="8"/>
  <c r="EP23" i="8"/>
  <c r="EP14" i="8"/>
  <c r="N29" i="2"/>
  <c r="N28" i="2"/>
  <c r="N25" i="2"/>
  <c r="N22" i="2"/>
  <c r="N21" i="2"/>
  <c r="N20" i="2"/>
  <c r="N19" i="2"/>
  <c r="N18" i="2"/>
  <c r="N17" i="2"/>
  <c r="N16" i="2"/>
  <c r="N13" i="2"/>
  <c r="N12" i="2"/>
  <c r="N11" i="2"/>
  <c r="N10" i="2"/>
  <c r="N9" i="2"/>
  <c r="M29" i="2"/>
  <c r="M28" i="2"/>
  <c r="M25" i="2"/>
  <c r="M22" i="2"/>
  <c r="M21" i="2"/>
  <c r="M20" i="2"/>
  <c r="M19" i="2"/>
  <c r="M18" i="2"/>
  <c r="M17" i="2"/>
  <c r="M16" i="2"/>
  <c r="M13" i="2"/>
  <c r="M12" i="2"/>
  <c r="M11" i="2"/>
  <c r="M10" i="2"/>
  <c r="M9" i="2"/>
  <c r="EO23" i="19"/>
  <c r="EO14" i="19"/>
  <c r="J11" i="17"/>
  <c r="J11" i="16"/>
  <c r="J12" i="16"/>
  <c r="J12" i="17"/>
  <c r="I12" i="17"/>
  <c r="A7" i="10"/>
  <c r="U25" i="16"/>
  <c r="U22" i="16"/>
  <c r="U21" i="16"/>
  <c r="U19" i="16"/>
  <c r="U17" i="16"/>
  <c r="U12" i="16"/>
  <c r="U11" i="16"/>
  <c r="U10" i="16"/>
  <c r="U9" i="16"/>
  <c r="R29" i="17"/>
  <c r="R28" i="17"/>
  <c r="R25" i="17"/>
  <c r="R22" i="17"/>
  <c r="R21" i="17"/>
  <c r="R20" i="17"/>
  <c r="R19" i="17"/>
  <c r="R18" i="17"/>
  <c r="R16" i="17"/>
  <c r="R11" i="17"/>
  <c r="R10" i="17"/>
  <c r="R9" i="17"/>
  <c r="U20" i="16"/>
  <c r="V20" i="16" s="1"/>
  <c r="U18" i="16"/>
  <c r="U16" i="16"/>
  <c r="Q20" i="14"/>
  <c r="A25" i="16"/>
  <c r="Z21" i="16"/>
  <c r="W21" i="20"/>
  <c r="B28" i="2"/>
  <c r="B21" i="2"/>
  <c r="I17" i="17"/>
  <c r="I17" i="16"/>
  <c r="I16" i="17"/>
  <c r="I16" i="16"/>
  <c r="I11" i="17"/>
  <c r="I11" i="16"/>
  <c r="P12" i="21"/>
  <c r="Z10" i="21"/>
  <c r="AO17" i="20"/>
  <c r="AO18" i="20"/>
  <c r="AO16" i="20"/>
  <c r="BG17" i="16"/>
  <c r="BG18" i="16"/>
  <c r="BG16" i="16"/>
  <c r="BD10" i="21"/>
  <c r="BD38" i="21"/>
  <c r="BD37" i="21"/>
  <c r="BD30" i="21"/>
  <c r="BD26" i="21"/>
  <c r="BD23" i="21"/>
  <c r="BC12" i="21"/>
  <c r="BC14" i="21" s="1"/>
  <c r="BB12" i="21"/>
  <c r="BB14" i="21" s="1"/>
  <c r="BC38" i="21"/>
  <c r="BC37" i="21"/>
  <c r="BC30" i="21"/>
  <c r="BC26" i="21"/>
  <c r="BC23" i="21"/>
  <c r="BB38" i="21"/>
  <c r="BB37" i="21"/>
  <c r="BB30" i="21"/>
  <c r="BB26" i="21"/>
  <c r="BB23" i="21"/>
  <c r="AU10" i="21"/>
  <c r="AU12" i="21"/>
  <c r="K12" i="21"/>
  <c r="K10" i="21"/>
  <c r="J10" i="21"/>
  <c r="J11" i="21"/>
  <c r="J12" i="21"/>
  <c r="J13" i="21"/>
  <c r="J9" i="21"/>
  <c r="O12" i="21"/>
  <c r="BG11" i="16"/>
  <c r="BG12" i="16"/>
  <c r="BG9" i="16"/>
  <c r="AQ17" i="20"/>
  <c r="AT14" i="13"/>
  <c r="AV14" i="13"/>
  <c r="AX14" i="13"/>
  <c r="CN14" i="19"/>
  <c r="AQ18" i="20"/>
  <c r="CO14" i="8"/>
  <c r="CO31" i="8" s="1"/>
  <c r="CP14" i="8"/>
  <c r="CN14" i="8"/>
  <c r="CN31" i="8" s="1"/>
  <c r="AG12" i="21"/>
  <c r="AK12" i="21"/>
  <c r="AK10" i="21"/>
  <c r="AC10" i="21"/>
  <c r="AC12" i="21"/>
  <c r="O23"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W17" i="20"/>
  <c r="AY17" i="20"/>
  <c r="AZ17" i="20"/>
  <c r="AZ12" i="21"/>
  <c r="AZ10" i="21"/>
  <c r="BA9" i="21"/>
  <c r="BA10" i="21"/>
  <c r="BA11" i="21"/>
  <c r="BA12" i="21"/>
  <c r="BA13" i="21"/>
  <c r="AX12" i="21"/>
  <c r="AX10" i="21"/>
  <c r="AW12" i="21"/>
  <c r="AW14" i="21" s="1"/>
  <c r="AW38" i="21"/>
  <c r="AW37" i="21"/>
  <c r="AU14" i="21"/>
  <c r="AU38" i="21"/>
  <c r="AU37" i="21"/>
  <c r="AS12" i="21"/>
  <c r="AS10" i="21"/>
  <c r="AS38" i="21"/>
  <c r="AS37" i="21"/>
  <c r="AS33" i="21"/>
  <c r="AQ38" i="21"/>
  <c r="AQ37" i="21"/>
  <c r="AN12" i="21"/>
  <c r="AN10" i="21"/>
  <c r="AM12" i="21"/>
  <c r="AM10" i="21"/>
  <c r="AL12" i="21"/>
  <c r="AL10" i="21"/>
  <c r="AO12" i="21"/>
  <c r="AO10" i="21"/>
  <c r="AJ12" i="21"/>
  <c r="AJ10" i="21"/>
  <c r="AI12" i="21"/>
  <c r="AI38" i="21"/>
  <c r="AI37" i="21"/>
  <c r="AG10" i="21"/>
  <c r="AG38" i="21"/>
  <c r="AG37" i="21"/>
  <c r="AE12" i="21"/>
  <c r="AE38" i="21"/>
  <c r="AE37" i="21"/>
  <c r="AC38" i="21"/>
  <c r="AC37" i="21"/>
  <c r="Z12" i="21"/>
  <c r="V38" i="21"/>
  <c r="V37" i="21"/>
  <c r="O10" i="21"/>
  <c r="I10" i="21"/>
  <c r="T38" i="21"/>
  <c r="T37" i="21"/>
  <c r="V26" i="21"/>
  <c r="M10" i="21"/>
  <c r="M14" i="21" s="1"/>
  <c r="L10" i="21"/>
  <c r="L14" i="21" s="1"/>
  <c r="O38" i="21"/>
  <c r="O37" i="21"/>
  <c r="P37" i="21"/>
  <c r="P38" i="21"/>
  <c r="J38" i="21"/>
  <c r="J37" i="21"/>
  <c r="C42" i="21"/>
  <c r="AX38" i="21"/>
  <c r="AV38" i="21"/>
  <c r="AT38" i="21"/>
  <c r="AR38" i="21"/>
  <c r="AP38" i="21"/>
  <c r="AO38" i="21"/>
  <c r="AN38" i="21"/>
  <c r="AM38" i="21"/>
  <c r="AL38" i="21"/>
  <c r="AK38" i="21"/>
  <c r="AJ38" i="21"/>
  <c r="AH38" i="21"/>
  <c r="AF38" i="21"/>
  <c r="AD38" i="21"/>
  <c r="AB38" i="21"/>
  <c r="AA38" i="21"/>
  <c r="Z38" i="21"/>
  <c r="Y38" i="21"/>
  <c r="U38" i="21"/>
  <c r="S38" i="21"/>
  <c r="R38" i="21"/>
  <c r="Q38" i="21"/>
  <c r="N38" i="21"/>
  <c r="M38" i="21"/>
  <c r="L38" i="21"/>
  <c r="K38" i="21"/>
  <c r="I38" i="21"/>
  <c r="H38" i="21"/>
  <c r="G38" i="21"/>
  <c r="F38" i="21"/>
  <c r="E38" i="21"/>
  <c r="AX37" i="21"/>
  <c r="AV37" i="21"/>
  <c r="AT37" i="21"/>
  <c r="AR37" i="21"/>
  <c r="AP37" i="21"/>
  <c r="AO37" i="21"/>
  <c r="AN37" i="21"/>
  <c r="AM37" i="21"/>
  <c r="AL37" i="21"/>
  <c r="AK37" i="21"/>
  <c r="AJ37" i="21"/>
  <c r="AH37" i="21"/>
  <c r="AF37" i="21"/>
  <c r="AD37" i="21"/>
  <c r="AB37" i="21"/>
  <c r="AA37" i="21"/>
  <c r="Z37" i="21"/>
  <c r="Y37" i="21"/>
  <c r="U37" i="21"/>
  <c r="S37" i="21"/>
  <c r="R37" i="21"/>
  <c r="Q37" i="21"/>
  <c r="N37" i="21"/>
  <c r="M37" i="21"/>
  <c r="L37" i="21"/>
  <c r="K37" i="21"/>
  <c r="I37" i="21"/>
  <c r="H37" i="21"/>
  <c r="G37" i="21"/>
  <c r="F37" i="21"/>
  <c r="E37" i="21"/>
  <c r="C31" i="21"/>
  <c r="Y30" i="21"/>
  <c r="R30" i="21"/>
  <c r="Q30" i="21"/>
  <c r="C30" i="21"/>
  <c r="C29" i="21"/>
  <c r="A29" i="21"/>
  <c r="C28" i="21"/>
  <c r="A28" i="21"/>
  <c r="C27" i="21"/>
  <c r="R26" i="21"/>
  <c r="Q26" i="21"/>
  <c r="C26" i="21"/>
  <c r="C25" i="21"/>
  <c r="C24" i="21"/>
  <c r="Y23" i="21"/>
  <c r="C23" i="21"/>
  <c r="I23" i="21"/>
  <c r="C22" i="21"/>
  <c r="A22" i="21"/>
  <c r="C21" i="21"/>
  <c r="A21" i="21"/>
  <c r="C20" i="21"/>
  <c r="A20" i="21"/>
  <c r="C19" i="21"/>
  <c r="A19" i="21"/>
  <c r="C18" i="21"/>
  <c r="A18" i="21"/>
  <c r="C17" i="21"/>
  <c r="A17" i="21"/>
  <c r="C16" i="21"/>
  <c r="A16" i="21"/>
  <c r="C15" i="21"/>
  <c r="C14" i="21"/>
  <c r="AF13" i="21"/>
  <c r="G13" i="21"/>
  <c r="F13" i="21"/>
  <c r="E13" i="21"/>
  <c r="C13" i="21"/>
  <c r="A13" i="21"/>
  <c r="AY12" i="21"/>
  <c r="AV12" i="21"/>
  <c r="AV14" i="21" s="1"/>
  <c r="AR12" i="21"/>
  <c r="AH12" i="21"/>
  <c r="AF12" i="21"/>
  <c r="AD12" i="21"/>
  <c r="AB12" i="21"/>
  <c r="Y12" i="21"/>
  <c r="Y14" i="21" s="1"/>
  <c r="N12" i="21"/>
  <c r="G12" i="21"/>
  <c r="E12" i="21"/>
  <c r="T12" i="21" s="1"/>
  <c r="C12" i="21"/>
  <c r="A12" i="21"/>
  <c r="AF11" i="21"/>
  <c r="F11" i="21" s="1"/>
  <c r="G11" i="21"/>
  <c r="E11" i="21"/>
  <c r="C11" i="21"/>
  <c r="A11" i="21"/>
  <c r="AY10" i="21"/>
  <c r="AR10" i="21"/>
  <c r="AF10" i="21"/>
  <c r="AB10" i="21"/>
  <c r="N10" i="21"/>
  <c r="H10" i="21"/>
  <c r="G10" i="21"/>
  <c r="F10" i="21"/>
  <c r="E10" i="21"/>
  <c r="S10" i="21" s="1"/>
  <c r="C10" i="21"/>
  <c r="A10" i="21"/>
  <c r="AF9" i="21"/>
  <c r="F9" i="21" s="1"/>
  <c r="G9" i="21"/>
  <c r="E9" i="21"/>
  <c r="C9" i="21"/>
  <c r="A9" i="21"/>
  <c r="C8" i="21"/>
  <c r="C7" i="21"/>
  <c r="C5" i="21"/>
  <c r="C2" i="21"/>
  <c r="C1" i="21"/>
  <c r="C31" i="20"/>
  <c r="C30" i="20"/>
  <c r="J30" i="20"/>
  <c r="G30" i="20"/>
  <c r="F30" i="20"/>
  <c r="AM30" i="20"/>
  <c r="C29" i="20"/>
  <c r="A29" i="20"/>
  <c r="AN30" i="20"/>
  <c r="AK30" i="20"/>
  <c r="AF30" i="20"/>
  <c r="AC30" i="20"/>
  <c r="Z30" i="20"/>
  <c r="Y30" i="20"/>
  <c r="O30" i="20"/>
  <c r="C28" i="20"/>
  <c r="A28" i="20"/>
  <c r="C27" i="20"/>
  <c r="C26" i="20"/>
  <c r="AJ26" i="20"/>
  <c r="AF26" i="20"/>
  <c r="F26" i="20"/>
  <c r="AM26" i="20"/>
  <c r="AI26" i="20"/>
  <c r="AE26" i="20"/>
  <c r="J26" i="20"/>
  <c r="AK26" i="20"/>
  <c r="AH26" i="20"/>
  <c r="AG26" i="20"/>
  <c r="AC26" i="20"/>
  <c r="Z26" i="20"/>
  <c r="S26" i="20"/>
  <c r="O26" i="20"/>
  <c r="C25" i="20"/>
  <c r="A25" i="20"/>
  <c r="C24" i="20"/>
  <c r="C23" i="20"/>
  <c r="AZ22" i="20"/>
  <c r="AY22" i="20"/>
  <c r="AX22" i="20"/>
  <c r="AW22" i="20"/>
  <c r="AV22" i="20"/>
  <c r="AO22" i="20"/>
  <c r="AL22" i="20"/>
  <c r="AB22" i="20"/>
  <c r="Z22" i="20"/>
  <c r="Y22" i="20"/>
  <c r="W22" i="20"/>
  <c r="P22" i="20"/>
  <c r="O22" i="20"/>
  <c r="L22" i="20"/>
  <c r="K22" i="20"/>
  <c r="J22" i="20"/>
  <c r="I22" i="20"/>
  <c r="G22" i="20"/>
  <c r="E22" i="20"/>
  <c r="C22" i="20"/>
  <c r="A22" i="20"/>
  <c r="AZ21" i="20"/>
  <c r="AY21" i="20"/>
  <c r="AX21" i="20"/>
  <c r="AW21" i="20"/>
  <c r="AV21" i="20"/>
  <c r="AR21" i="20"/>
  <c r="AO21" i="20"/>
  <c r="AN21" i="20"/>
  <c r="AM21" i="20"/>
  <c r="AK21" i="20"/>
  <c r="AF21" i="20"/>
  <c r="AE21" i="20"/>
  <c r="AD21" i="20"/>
  <c r="AC21" i="20"/>
  <c r="AB21" i="20"/>
  <c r="AA21" i="20"/>
  <c r="Z21" i="20"/>
  <c r="Y21" i="20"/>
  <c r="P21" i="20"/>
  <c r="AT21" i="20" s="1"/>
  <c r="O21" i="20"/>
  <c r="L21" i="20"/>
  <c r="K21" i="20"/>
  <c r="J21" i="20"/>
  <c r="I21" i="20"/>
  <c r="H21" i="20"/>
  <c r="G21" i="20"/>
  <c r="E21" i="20"/>
  <c r="C21" i="20"/>
  <c r="A21" i="20"/>
  <c r="AW20" i="20"/>
  <c r="AV20" i="20"/>
  <c r="AO20" i="20"/>
  <c r="AN20" i="20"/>
  <c r="AL20" i="20"/>
  <c r="AB20" i="20"/>
  <c r="AA20" i="20"/>
  <c r="Z20" i="20"/>
  <c r="Y20" i="20"/>
  <c r="W20" i="20"/>
  <c r="P20" i="20"/>
  <c r="AT20" i="20" s="1"/>
  <c r="O20" i="20"/>
  <c r="L20" i="20"/>
  <c r="K20" i="20"/>
  <c r="F20" i="20" s="1"/>
  <c r="J20" i="20"/>
  <c r="I20" i="20"/>
  <c r="G20" i="20"/>
  <c r="E20" i="20"/>
  <c r="C20" i="20"/>
  <c r="A20" i="20"/>
  <c r="AZ19" i="20"/>
  <c r="AY19" i="20"/>
  <c r="AW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AZ18" i="20"/>
  <c r="AY18" i="20"/>
  <c r="AW18" i="20"/>
  <c r="AV18" i="20"/>
  <c r="AU18" i="20"/>
  <c r="AR18" i="20"/>
  <c r="AN18" i="20"/>
  <c r="AM18" i="20"/>
  <c r="AL18" i="20"/>
  <c r="AK18" i="20"/>
  <c r="AG18" i="20"/>
  <c r="AF18" i="20"/>
  <c r="AE18" i="20"/>
  <c r="AD18" i="20"/>
  <c r="AC18" i="20"/>
  <c r="AB18" i="20"/>
  <c r="AA18" i="20"/>
  <c r="Z18" i="20"/>
  <c r="Y18" i="20"/>
  <c r="W18" i="20"/>
  <c r="P18" i="20"/>
  <c r="O18" i="20"/>
  <c r="N18" i="20"/>
  <c r="N23" i="20" s="1"/>
  <c r="M18" i="20"/>
  <c r="M23" i="20" s="1"/>
  <c r="M26" i="20" s="1"/>
  <c r="L18" i="20"/>
  <c r="K18" i="20"/>
  <c r="J18" i="20"/>
  <c r="I18" i="20"/>
  <c r="G18" i="20"/>
  <c r="E18" i="20"/>
  <c r="S18" i="20" s="1"/>
  <c r="C18" i="20"/>
  <c r="A18" i="20"/>
  <c r="C16" i="20"/>
  <c r="A16" i="20"/>
  <c r="C15" i="20"/>
  <c r="C14" i="20"/>
  <c r="AW14" i="20"/>
  <c r="AL14" i="20"/>
  <c r="AK14" i="20"/>
  <c r="AJ14" i="20"/>
  <c r="AH14" i="20"/>
  <c r="AG14" i="20"/>
  <c r="AF14" i="20"/>
  <c r="AE14" i="20"/>
  <c r="AC14" i="20"/>
  <c r="AB14" i="20"/>
  <c r="Y14" i="20"/>
  <c r="P14" i="20"/>
  <c r="O14" i="20"/>
  <c r="L14" i="20"/>
  <c r="C13" i="20"/>
  <c r="A13" i="20"/>
  <c r="C12" i="20"/>
  <c r="A12" i="20"/>
  <c r="C11" i="20"/>
  <c r="A11" i="20"/>
  <c r="C10" i="20"/>
  <c r="A10" i="20"/>
  <c r="N14" i="20"/>
  <c r="I14" i="20"/>
  <c r="C9" i="20"/>
  <c r="A9" i="20"/>
  <c r="C8" i="20"/>
  <c r="C7" i="20"/>
  <c r="C42"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T38" i="20"/>
  <c r="S38" i="20"/>
  <c r="R38" i="20"/>
  <c r="Q38" i="20"/>
  <c r="P38" i="20"/>
  <c r="O38" i="20"/>
  <c r="N38" i="20"/>
  <c r="M38" i="20"/>
  <c r="L38" i="20"/>
  <c r="K38" i="20"/>
  <c r="J38" i="20"/>
  <c r="I38" i="20"/>
  <c r="H38" i="20"/>
  <c r="G38" i="20"/>
  <c r="F38" i="20"/>
  <c r="E38" i="20"/>
  <c r="AX37" i="20"/>
  <c r="AW37" i="20"/>
  <c r="AV37" i="20"/>
  <c r="AU37" i="20"/>
  <c r="AT37" i="20"/>
  <c r="AS37" i="20"/>
  <c r="AR37" i="20"/>
  <c r="AQ37" i="20"/>
  <c r="AP37" i="20"/>
  <c r="AO37" i="20"/>
  <c r="AN37" i="20"/>
  <c r="AM37" i="20"/>
  <c r="AL37" i="20"/>
  <c r="AK37" i="20"/>
  <c r="AJ37" i="20"/>
  <c r="AI37" i="20"/>
  <c r="AH37" i="20"/>
  <c r="AG37" i="20"/>
  <c r="AF37" i="20"/>
  <c r="AE37" i="20"/>
  <c r="AD37" i="20"/>
  <c r="AC37" i="20"/>
  <c r="AB37" i="20"/>
  <c r="AA37" i="20"/>
  <c r="Z37" i="20"/>
  <c r="Y37" i="20"/>
  <c r="X37" i="20"/>
  <c r="W37" i="20"/>
  <c r="T37" i="20"/>
  <c r="S37" i="20"/>
  <c r="R37" i="20"/>
  <c r="Q37" i="20"/>
  <c r="P37" i="20"/>
  <c r="O37" i="20"/>
  <c r="N37" i="20"/>
  <c r="M37" i="20"/>
  <c r="L37" i="20"/>
  <c r="K37" i="20"/>
  <c r="J37" i="20"/>
  <c r="I37" i="20"/>
  <c r="H37" i="20"/>
  <c r="G37" i="20"/>
  <c r="F37" i="20"/>
  <c r="E37" i="20"/>
  <c r="R30" i="20"/>
  <c r="Q30" i="20"/>
  <c r="H30" i="20"/>
  <c r="R26" i="20"/>
  <c r="Q26" i="20"/>
  <c r="H26" i="20"/>
  <c r="AX14" i="20"/>
  <c r="AV14" i="20"/>
  <c r="AU14" i="20"/>
  <c r="M14" i="20"/>
  <c r="H14" i="20"/>
  <c r="C5" i="20"/>
  <c r="C2" i="20"/>
  <c r="C1" i="20"/>
  <c r="BG19" i="16"/>
  <c r="BG20" i="16"/>
  <c r="BG21" i="16"/>
  <c r="BG22" i="16"/>
  <c r="BG10" i="16"/>
  <c r="BG13" i="16"/>
  <c r="E10" i="16"/>
  <c r="CP31" i="19"/>
  <c r="CO31" i="19"/>
  <c r="CN31" i="19"/>
  <c r="BU31" i="19"/>
  <c r="BT31" i="19"/>
  <c r="BS31" i="19"/>
  <c r="BR31" i="19"/>
  <c r="BQ31" i="19"/>
  <c r="BP31" i="19"/>
  <c r="BO31" i="19"/>
  <c r="BN31" i="19"/>
  <c r="CV30" i="19"/>
  <c r="CL30" i="19"/>
  <c r="CK30" i="19"/>
  <c r="CJ30" i="19"/>
  <c r="CI30" i="19"/>
  <c r="BM30" i="19"/>
  <c r="BK30" i="19"/>
  <c r="BI30" i="19"/>
  <c r="BH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CV26" i="19"/>
  <c r="CL26" i="19"/>
  <c r="CK26" i="19"/>
  <c r="CJ26" i="19"/>
  <c r="CI26" i="19"/>
  <c r="BM26" i="19"/>
  <c r="BK26" i="19"/>
  <c r="BI26" i="19"/>
  <c r="BH26" i="19"/>
  <c r="AZ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EN23" i="19"/>
  <c r="EM23" i="19"/>
  <c r="EL23" i="19"/>
  <c r="EK23" i="19"/>
  <c r="EK31" i="19" s="1"/>
  <c r="EJ23" i="19"/>
  <c r="EJ31" i="19" s="1"/>
  <c r="EI23" i="19"/>
  <c r="EI31" i="19" s="1"/>
  <c r="EH23" i="19"/>
  <c r="EH31" i="19" s="1"/>
  <c r="EG23" i="19"/>
  <c r="EG31" i="19" s="1"/>
  <c r="EF23" i="19"/>
  <c r="EF31" i="19" s="1"/>
  <c r="EE23" i="19"/>
  <c r="EE31" i="19" s="1"/>
  <c r="ED23" i="19"/>
  <c r="ED31" i="19" s="1"/>
  <c r="EC23" i="19"/>
  <c r="EC31" i="19" s="1"/>
  <c r="EB23" i="19"/>
  <c r="EB31" i="19" s="1"/>
  <c r="EA23" i="19"/>
  <c r="EA31" i="19" s="1"/>
  <c r="DZ23" i="19"/>
  <c r="DZ31" i="19" s="1"/>
  <c r="DY23" i="19"/>
  <c r="DY31" i="19" s="1"/>
  <c r="DX23" i="19"/>
  <c r="DX31" i="19" s="1"/>
  <c r="DW23" i="19"/>
  <c r="DW31" i="19" s="1"/>
  <c r="DV23" i="19"/>
  <c r="DV31" i="19" s="1"/>
  <c r="DU23" i="19"/>
  <c r="DU31" i="19" s="1"/>
  <c r="DT23" i="19"/>
  <c r="DT31" i="19" s="1"/>
  <c r="DS23" i="19"/>
  <c r="DS31" i="19" s="1"/>
  <c r="DR23" i="19"/>
  <c r="DR31" i="19" s="1"/>
  <c r="DQ23" i="19"/>
  <c r="DQ31" i="19" s="1"/>
  <c r="DP23" i="19"/>
  <c r="DP31" i="19" s="1"/>
  <c r="DO23" i="19"/>
  <c r="DO31" i="19" s="1"/>
  <c r="DN23" i="19"/>
  <c r="DN31" i="19" s="1"/>
  <c r="DM23" i="19"/>
  <c r="DM31" i="19" s="1"/>
  <c r="DL23" i="19"/>
  <c r="DK23" i="19"/>
  <c r="DJ23" i="19"/>
  <c r="DI23" i="19"/>
  <c r="DH23" i="19"/>
  <c r="DG23" i="19"/>
  <c r="DF23" i="19"/>
  <c r="DF31" i="19" s="1"/>
  <c r="DE23" i="19"/>
  <c r="DE31" i="19" s="1"/>
  <c r="DD23" i="19"/>
  <c r="DD31" i="19" s="1"/>
  <c r="DC23" i="19"/>
  <c r="DC31" i="19" s="1"/>
  <c r="DB23" i="19"/>
  <c r="DB31" i="19" s="1"/>
  <c r="DA23" i="19"/>
  <c r="CZ23" i="19"/>
  <c r="CY23" i="19"/>
  <c r="CW23" i="19"/>
  <c r="CV23" i="19"/>
  <c r="CL23" i="19"/>
  <c r="CK23" i="19"/>
  <c r="CJ23" i="19"/>
  <c r="CI23" i="19"/>
  <c r="CH23" i="19"/>
  <c r="CG23" i="19"/>
  <c r="CF23" i="19"/>
  <c r="CE23" i="19"/>
  <c r="CD23" i="19"/>
  <c r="CC23" i="19"/>
  <c r="CB23" i="19"/>
  <c r="CA23" i="19"/>
  <c r="BM23" i="19"/>
  <c r="BL23" i="19"/>
  <c r="BK23" i="19"/>
  <c r="BJ23" i="19"/>
  <c r="BI23" i="19"/>
  <c r="BH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AZ23" i="19"/>
  <c r="EN14" i="19"/>
  <c r="EM14" i="19"/>
  <c r="EL14" i="19"/>
  <c r="CV14" i="19"/>
  <c r="CU14" i="19"/>
  <c r="CT14" i="19"/>
  <c r="CS14" i="19"/>
  <c r="CL14" i="19"/>
  <c r="CK14" i="19"/>
  <c r="CJ14" i="19"/>
  <c r="CI14" i="19"/>
  <c r="CH14" i="19"/>
  <c r="CG14" i="19"/>
  <c r="CF14" i="19"/>
  <c r="CE14" i="19"/>
  <c r="CD14" i="19"/>
  <c r="CC14" i="19"/>
  <c r="CB14" i="19"/>
  <c r="CA14" i="19"/>
  <c r="BM14" i="19"/>
  <c r="BM3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3" i="8"/>
  <c r="EM23" i="8"/>
  <c r="EN23" i="8"/>
  <c r="O10" i="17"/>
  <c r="O11" i="17"/>
  <c r="O12" i="17"/>
  <c r="O13" i="17"/>
  <c r="O9" i="17"/>
  <c r="I9" i="17"/>
  <c r="I10" i="17"/>
  <c r="I13" i="17"/>
  <c r="I18" i="17"/>
  <c r="I21" i="17"/>
  <c r="I22" i="17"/>
  <c r="I25" i="17"/>
  <c r="I28" i="17"/>
  <c r="I29" i="17"/>
  <c r="I37" i="17"/>
  <c r="I38" i="17"/>
  <c r="AR10" i="17"/>
  <c r="AR11" i="17"/>
  <c r="AR12" i="17"/>
  <c r="AR13" i="17"/>
  <c r="AR9" i="17"/>
  <c r="BM10" i="16"/>
  <c r="BM11" i="16"/>
  <c r="BM12" i="16"/>
  <c r="BM9" i="16"/>
  <c r="V38" i="17"/>
  <c r="V37" i="17"/>
  <c r="AR38" i="16"/>
  <c r="AR37" i="16"/>
  <c r="AH38" i="16"/>
  <c r="AI38" i="16"/>
  <c r="AH37" i="16"/>
  <c r="AI37" i="16"/>
  <c r="AD38" i="16"/>
  <c r="AD37" i="16"/>
  <c r="Y38" i="16"/>
  <c r="Y37" i="16"/>
  <c r="N38" i="16"/>
  <c r="N37" i="16"/>
  <c r="K38" i="16"/>
  <c r="K37" i="16"/>
  <c r="AW10" i="17"/>
  <c r="AW11" i="17"/>
  <c r="AW12" i="17"/>
  <c r="AW13" i="17"/>
  <c r="AW9" i="17"/>
  <c r="AF10" i="17"/>
  <c r="AF11" i="17"/>
  <c r="AF12" i="17"/>
  <c r="AF13" i="17"/>
  <c r="AF9" i="17"/>
  <c r="AR14" i="16"/>
  <c r="EK23" i="8"/>
  <c r="EK31" i="8" s="1"/>
  <c r="AN30" i="16"/>
  <c r="AO30" i="16"/>
  <c r="AP30" i="16"/>
  <c r="AQ30" i="16"/>
  <c r="AR30" i="16"/>
  <c r="AR26" i="16"/>
  <c r="AR23" i="16"/>
  <c r="AI12" i="16"/>
  <c r="AI9" i="16"/>
  <c r="AH11" i="16"/>
  <c r="AH12" i="16"/>
  <c r="AH9" i="16"/>
  <c r="AH30" i="16"/>
  <c r="AI30" i="16"/>
  <c r="AH26" i="16"/>
  <c r="AI26" i="16"/>
  <c r="AH23" i="16"/>
  <c r="AI23" i="16"/>
  <c r="AA13" i="17"/>
  <c r="AF13" i="16"/>
  <c r="AA10" i="17"/>
  <c r="AF10" i="16"/>
  <c r="AA11" i="17"/>
  <c r="AA12" i="17"/>
  <c r="AF11" i="16"/>
  <c r="AF12" i="16"/>
  <c r="AA9" i="17"/>
  <c r="AF9" i="16"/>
  <c r="AD12" i="16"/>
  <c r="AD9" i="16"/>
  <c r="AD23" i="16"/>
  <c r="AD26" i="16"/>
  <c r="AD30" i="16"/>
  <c r="Z10" i="17"/>
  <c r="Z11" i="17"/>
  <c r="Z12" i="17"/>
  <c r="Z13" i="17"/>
  <c r="Z9" i="17"/>
  <c r="Y13" i="17"/>
  <c r="AB13" i="16"/>
  <c r="Y12" i="17"/>
  <c r="AB12" i="16"/>
  <c r="Y11" i="17"/>
  <c r="AB11" i="16"/>
  <c r="Y10" i="17"/>
  <c r="AB10" i="16"/>
  <c r="Y9" i="17"/>
  <c r="AB9" i="16"/>
  <c r="W11" i="17"/>
  <c r="Z11" i="16"/>
  <c r="W9" i="17"/>
  <c r="Z9" i="16"/>
  <c r="V12" i="17"/>
  <c r="V9" i="17"/>
  <c r="V23" i="17"/>
  <c r="Y12" i="16"/>
  <c r="Y9" i="16"/>
  <c r="Y30" i="16"/>
  <c r="Y23" i="16"/>
  <c r="N11" i="16"/>
  <c r="N12" i="16"/>
  <c r="N9" i="16"/>
  <c r="N23" i="16"/>
  <c r="N26" i="16" s="1"/>
  <c r="K10" i="16"/>
  <c r="K11" i="16"/>
  <c r="K12" i="16"/>
  <c r="K13" i="16"/>
  <c r="K9" i="16"/>
  <c r="K26" i="16"/>
  <c r="K30" i="16"/>
  <c r="K23" i="16"/>
  <c r="I10" i="16"/>
  <c r="I13" i="16"/>
  <c r="I9" i="16"/>
  <c r="G13" i="16"/>
  <c r="G13" i="17"/>
  <c r="G11" i="17"/>
  <c r="G12" i="17"/>
  <c r="G11" i="16"/>
  <c r="G12" i="16"/>
  <c r="G10" i="17"/>
  <c r="G10" i="16"/>
  <c r="G9" i="17"/>
  <c r="G9" i="16"/>
  <c r="E10" i="17"/>
  <c r="E11" i="17"/>
  <c r="E12" i="17"/>
  <c r="E13" i="17"/>
  <c r="E9" i="17"/>
  <c r="E11" i="16"/>
  <c r="E12" i="16"/>
  <c r="E13" i="16"/>
  <c r="E9" i="16"/>
  <c r="G3" i="18"/>
  <c r="H11" i="11"/>
  <c r="BQ21" i="16"/>
  <c r="BQ22" i="16"/>
  <c r="AM20" i="16"/>
  <c r="AM21" i="16"/>
  <c r="AC20" i="16"/>
  <c r="AC21" i="16"/>
  <c r="R19" i="16"/>
  <c r="BM19" i="16" s="1"/>
  <c r="R20" i="16"/>
  <c r="BM20" i="16" s="1"/>
  <c r="R21" i="16"/>
  <c r="BM21" i="16" s="1"/>
  <c r="AE21" i="17"/>
  <c r="AT19" i="17"/>
  <c r="AT20" i="17"/>
  <c r="AT21" i="17"/>
  <c r="AT22" i="17"/>
  <c r="BO19" i="16"/>
  <c r="BO20" i="16"/>
  <c r="BO21" i="16"/>
  <c r="BO22" i="16"/>
  <c r="K19" i="17"/>
  <c r="K20" i="17"/>
  <c r="K21" i="17"/>
  <c r="K22" i="17"/>
  <c r="W18" i="17"/>
  <c r="W16" i="17"/>
  <c r="Z20" i="16"/>
  <c r="Z18" i="16"/>
  <c r="Z16" i="16"/>
  <c r="C2" i="16"/>
  <c r="AB22" i="16"/>
  <c r="AR19" i="17"/>
  <c r="AR20" i="17"/>
  <c r="K17" i="17"/>
  <c r="K18" i="17"/>
  <c r="K16" i="17"/>
  <c r="J38" i="17"/>
  <c r="J37" i="17"/>
  <c r="J29" i="17"/>
  <c r="J28" i="17"/>
  <c r="J25" i="17"/>
  <c r="J22" i="17"/>
  <c r="J21" i="17"/>
  <c r="J20" i="17"/>
  <c r="J19" i="17"/>
  <c r="J18" i="17"/>
  <c r="J17" i="17"/>
  <c r="J16" i="17"/>
  <c r="J13" i="17"/>
  <c r="J10" i="17"/>
  <c r="J9" i="17"/>
  <c r="K9" i="17"/>
  <c r="K10" i="17"/>
  <c r="K11" i="17"/>
  <c r="K12" i="17"/>
  <c r="K13" i="17"/>
  <c r="K30" i="17"/>
  <c r="K37" i="17"/>
  <c r="K38" i="17"/>
  <c r="J38" i="16"/>
  <c r="J37" i="16"/>
  <c r="J29" i="16"/>
  <c r="J28" i="16"/>
  <c r="J25" i="16"/>
  <c r="J22" i="16"/>
  <c r="J21" i="16"/>
  <c r="J20" i="16"/>
  <c r="J19" i="16"/>
  <c r="J18" i="16"/>
  <c r="J17" i="16"/>
  <c r="J16" i="16"/>
  <c r="J13" i="16"/>
  <c r="J10" i="16"/>
  <c r="J9" i="16"/>
  <c r="AT14" i="8"/>
  <c r="AS26" i="8"/>
  <c r="AS23" i="8"/>
  <c r="AT23" i="8"/>
  <c r="AT38" i="17"/>
  <c r="AU38" i="17"/>
  <c r="AS38" i="17"/>
  <c r="Z38" i="17"/>
  <c r="Y38" i="17"/>
  <c r="Z37" i="17"/>
  <c r="Y37" i="17"/>
  <c r="AD38" i="17"/>
  <c r="AE38" i="17"/>
  <c r="AD37" i="17"/>
  <c r="AE37" i="17"/>
  <c r="AT37" i="17"/>
  <c r="AU37" i="17"/>
  <c r="AS37" i="17"/>
  <c r="AK38" i="17"/>
  <c r="AK37" i="17"/>
  <c r="AQ38" i="17"/>
  <c r="AR38" i="17"/>
  <c r="AR37" i="17"/>
  <c r="AQ37" i="17"/>
  <c r="Q38" i="17"/>
  <c r="R38" i="17"/>
  <c r="S38" i="17"/>
  <c r="L38" i="17"/>
  <c r="M38" i="17"/>
  <c r="N38" i="17"/>
  <c r="O38" i="17"/>
  <c r="H38" i="17"/>
  <c r="P38" i="17"/>
  <c r="P37" i="17"/>
  <c r="Q37" i="17"/>
  <c r="R37" i="17"/>
  <c r="S37" i="17"/>
  <c r="L37" i="17"/>
  <c r="M37" i="17"/>
  <c r="N37" i="17"/>
  <c r="O37" i="17"/>
  <c r="H37" i="17"/>
  <c r="BN38" i="16"/>
  <c r="BO38" i="16"/>
  <c r="BN37" i="16"/>
  <c r="BO37" i="16"/>
  <c r="BK38" i="16"/>
  <c r="BK37" i="16"/>
  <c r="BD38" i="16"/>
  <c r="BD37" i="16"/>
  <c r="AW38" i="16"/>
  <c r="AX38" i="16"/>
  <c r="AY38" i="16"/>
  <c r="AZ38" i="16"/>
  <c r="AW37" i="16"/>
  <c r="AX37" i="16"/>
  <c r="AY37" i="16"/>
  <c r="AZ37" i="16"/>
  <c r="AN38" i="16"/>
  <c r="AO38" i="16"/>
  <c r="AP38" i="16"/>
  <c r="AQ38" i="16"/>
  <c r="AN37" i="16"/>
  <c r="AO37" i="16"/>
  <c r="AP37" i="16"/>
  <c r="AQ37" i="16"/>
  <c r="AL37" i="16"/>
  <c r="V38" i="16"/>
  <c r="V37" i="16"/>
  <c r="H38" i="16"/>
  <c r="S38" i="16"/>
  <c r="T38" i="16"/>
  <c r="H37" i="16"/>
  <c r="S37" i="16"/>
  <c r="T37" i="16"/>
  <c r="M38" i="16"/>
  <c r="O38" i="16"/>
  <c r="P38" i="16"/>
  <c r="M37" i="16"/>
  <c r="O37" i="16"/>
  <c r="P37" i="16"/>
  <c r="AT23" i="13"/>
  <c r="AU23" i="13"/>
  <c r="AV23" i="13"/>
  <c r="AW23" i="13"/>
  <c r="AX23" i="13"/>
  <c r="AS23" i="13"/>
  <c r="C2" i="17"/>
  <c r="C1" i="17"/>
  <c r="C1" i="16"/>
  <c r="G29" i="16"/>
  <c r="G28" i="16"/>
  <c r="G25" i="16"/>
  <c r="AT17" i="17"/>
  <c r="AT18" i="17"/>
  <c r="AT16" i="17"/>
  <c r="H21" i="17"/>
  <c r="M18" i="17"/>
  <c r="L18" i="17"/>
  <c r="BO17" i="16"/>
  <c r="BO18" i="16"/>
  <c r="BO16" i="16"/>
  <c r="P18" i="16"/>
  <c r="H21" i="16"/>
  <c r="CW23" i="8"/>
  <c r="CY23" i="8"/>
  <c r="CZ23" i="8"/>
  <c r="DA23" i="8"/>
  <c r="DB23" i="8"/>
  <c r="DB31" i="8" s="1"/>
  <c r="DC23" i="8"/>
  <c r="DC31" i="8" s="1"/>
  <c r="DD23" i="8"/>
  <c r="DD31" i="8" s="1"/>
  <c r="DE23" i="8"/>
  <c r="DE31" i="8" s="1"/>
  <c r="DF23" i="8"/>
  <c r="DF31" i="8" s="1"/>
  <c r="DG23" i="8"/>
  <c r="DH23" i="8"/>
  <c r="DI23" i="8"/>
  <c r="DJ23" i="8"/>
  <c r="DK23" i="8"/>
  <c r="DL23" i="8"/>
  <c r="DM23" i="8"/>
  <c r="DM31" i="8" s="1"/>
  <c r="DN23" i="8"/>
  <c r="DN31" i="8" s="1"/>
  <c r="DO23" i="8"/>
  <c r="DO31" i="8" s="1"/>
  <c r="DP23" i="8"/>
  <c r="DP31" i="8" s="1"/>
  <c r="DQ23" i="8"/>
  <c r="DQ31" i="8" s="1"/>
  <c r="DR23" i="8"/>
  <c r="DR31" i="8" s="1"/>
  <c r="DS23" i="8"/>
  <c r="DS31" i="8" s="1"/>
  <c r="DT23" i="8"/>
  <c r="DT31" i="8" s="1"/>
  <c r="DU23" i="8"/>
  <c r="DU31" i="8" s="1"/>
  <c r="DV23" i="8"/>
  <c r="DV31" i="8" s="1"/>
  <c r="DW23" i="8"/>
  <c r="DW31" i="8" s="1"/>
  <c r="DX23" i="8"/>
  <c r="DX31" i="8" s="1"/>
  <c r="DY23" i="8"/>
  <c r="DY31" i="8" s="1"/>
  <c r="DZ23" i="8"/>
  <c r="DZ31" i="8" s="1"/>
  <c r="EA23" i="8"/>
  <c r="EA31" i="8" s="1"/>
  <c r="EB23" i="8"/>
  <c r="EB31" i="8" s="1"/>
  <c r="EC23" i="8"/>
  <c r="EC31" i="8" s="1"/>
  <c r="ED23" i="8"/>
  <c r="ED31" i="8" s="1"/>
  <c r="EE23" i="8"/>
  <c r="EE31" i="8" s="1"/>
  <c r="EF23" i="8"/>
  <c r="EF31" i="8" s="1"/>
  <c r="EG23" i="8"/>
  <c r="EG31" i="8" s="1"/>
  <c r="EH23" i="8"/>
  <c r="EH31" i="8" s="1"/>
  <c r="EI23" i="8"/>
  <c r="EI31" i="8" s="1"/>
  <c r="EJ23" i="8"/>
  <c r="EJ31" i="8" s="1"/>
  <c r="L16" i="17"/>
  <c r="M16" i="17"/>
  <c r="P16" i="16"/>
  <c r="O18" i="16"/>
  <c r="O16" i="16"/>
  <c r="A21" i="17"/>
  <c r="C21" i="17"/>
  <c r="E21" i="17"/>
  <c r="G21" i="17"/>
  <c r="N21" i="17"/>
  <c r="O21" i="17"/>
  <c r="AR21" i="17" s="1"/>
  <c r="W21" i="17"/>
  <c r="Y21" i="17"/>
  <c r="Z21" i="17"/>
  <c r="AA21" i="17"/>
  <c r="AB23" i="17"/>
  <c r="AC23" i="17"/>
  <c r="AF21" i="17"/>
  <c r="AJ21" i="17"/>
  <c r="AL21" i="17"/>
  <c r="AM21" i="17"/>
  <c r="AP21" i="17"/>
  <c r="AU21" i="17"/>
  <c r="AV21" i="17"/>
  <c r="AW21" i="17"/>
  <c r="H30" i="16"/>
  <c r="S30" i="16"/>
  <c r="T30" i="16"/>
  <c r="H26" i="16"/>
  <c r="S26" i="16"/>
  <c r="T26" i="16"/>
  <c r="A19" i="17"/>
  <c r="C19" i="17"/>
  <c r="A20" i="17"/>
  <c r="C20" i="17"/>
  <c r="AF17" i="17"/>
  <c r="AF18" i="17"/>
  <c r="AF22" i="17"/>
  <c r="AF16" i="17"/>
  <c r="Z17" i="17"/>
  <c r="Z18" i="17"/>
  <c r="Z22" i="17"/>
  <c r="Z16" i="17"/>
  <c r="O17" i="17"/>
  <c r="AR17" i="17" s="1"/>
  <c r="O18" i="17"/>
  <c r="AR18" i="17" s="1"/>
  <c r="O22" i="17"/>
  <c r="O16" i="17"/>
  <c r="AR16" i="17" s="1"/>
  <c r="O26" i="17"/>
  <c r="H26" i="17"/>
  <c r="P26" i="17"/>
  <c r="Q26" i="17"/>
  <c r="O30" i="17"/>
  <c r="H30" i="17"/>
  <c r="P30" i="17"/>
  <c r="Q30" i="17"/>
  <c r="L14" i="17"/>
  <c r="M14" i="17"/>
  <c r="L30" i="17"/>
  <c r="M30" i="17"/>
  <c r="L26" i="17"/>
  <c r="M26" i="17"/>
  <c r="N26" i="17"/>
  <c r="G22" i="17"/>
  <c r="G25" i="17"/>
  <c r="G28" i="17"/>
  <c r="G29" i="17"/>
  <c r="G17" i="17"/>
  <c r="G18" i="17"/>
  <c r="G16" i="17"/>
  <c r="G38" i="17"/>
  <c r="G37" i="17"/>
  <c r="AW17" i="17"/>
  <c r="AW18" i="17"/>
  <c r="AW22" i="17"/>
  <c r="AW16" i="17"/>
  <c r="AT14" i="17"/>
  <c r="AV10" i="17"/>
  <c r="AV11" i="17"/>
  <c r="AV12" i="17"/>
  <c r="AV13" i="17"/>
  <c r="AV16" i="17"/>
  <c r="AV17" i="17"/>
  <c r="AV18" i="17"/>
  <c r="AV22" i="17"/>
  <c r="AV9" i="17"/>
  <c r="AU10" i="17"/>
  <c r="AU11" i="17"/>
  <c r="AU12" i="17"/>
  <c r="AU13" i="17"/>
  <c r="AU16" i="17"/>
  <c r="AU17" i="17"/>
  <c r="AU18" i="17"/>
  <c r="AU22" i="17"/>
  <c r="AU9" i="17"/>
  <c r="AS14" i="17"/>
  <c r="AS17" i="17"/>
  <c r="AS18" i="17"/>
  <c r="AS16" i="17"/>
  <c r="AP10" i="17"/>
  <c r="AP11" i="17"/>
  <c r="AP12" i="17"/>
  <c r="AP13" i="17"/>
  <c r="AP16" i="17"/>
  <c r="AP17" i="17"/>
  <c r="AP18" i="17"/>
  <c r="AP22" i="17"/>
  <c r="AP9" i="17"/>
  <c r="BJ9" i="16"/>
  <c r="AN14" i="17"/>
  <c r="AM10" i="17"/>
  <c r="AM11" i="17"/>
  <c r="AM12" i="17"/>
  <c r="AM13" i="17"/>
  <c r="AM16" i="17"/>
  <c r="AM17" i="17"/>
  <c r="AM18" i="17"/>
  <c r="AM22" i="17"/>
  <c r="AM9" i="17"/>
  <c r="AL10" i="17"/>
  <c r="AL11" i="17"/>
  <c r="AL12" i="17"/>
  <c r="AL13" i="17"/>
  <c r="AL16" i="17"/>
  <c r="AL17" i="17"/>
  <c r="AL18" i="17"/>
  <c r="AL22" i="17"/>
  <c r="AL9" i="17"/>
  <c r="AK10" i="17"/>
  <c r="AK11" i="17"/>
  <c r="AK12" i="17"/>
  <c r="AK13" i="17"/>
  <c r="AK16" i="17"/>
  <c r="AK17" i="17"/>
  <c r="AK18" i="17"/>
  <c r="AK22" i="17"/>
  <c r="AK9" i="17"/>
  <c r="AJ10" i="17"/>
  <c r="AJ11" i="17"/>
  <c r="AJ12" i="17"/>
  <c r="AJ13" i="17"/>
  <c r="AJ16" i="17"/>
  <c r="AJ17" i="17"/>
  <c r="AJ18" i="17"/>
  <c r="AJ22" i="17"/>
  <c r="AJ9" i="17"/>
  <c r="AI14" i="17"/>
  <c r="AI23" i="17"/>
  <c r="AH14" i="17"/>
  <c r="AH23" i="17"/>
  <c r="AG10" i="17"/>
  <c r="AG11" i="17"/>
  <c r="AG12" i="17"/>
  <c r="AG13" i="17"/>
  <c r="AG18" i="17"/>
  <c r="AG22" i="17"/>
  <c r="AG9" i="17"/>
  <c r="BN17" i="16"/>
  <c r="BN18" i="16"/>
  <c r="BN16" i="16"/>
  <c r="BS10" i="16"/>
  <c r="BS11" i="16"/>
  <c r="BS12" i="16"/>
  <c r="BS13" i="16"/>
  <c r="BS16" i="16"/>
  <c r="BS17" i="16"/>
  <c r="BS18" i="16"/>
  <c r="BS19" i="16"/>
  <c r="BS21" i="16"/>
  <c r="BS22" i="16"/>
  <c r="BS9" i="16"/>
  <c r="BR10" i="16"/>
  <c r="BR11" i="16"/>
  <c r="BR12" i="16"/>
  <c r="BR13" i="16"/>
  <c r="BR16" i="16"/>
  <c r="BR17" i="16"/>
  <c r="BR18" i="16"/>
  <c r="BR19" i="16"/>
  <c r="BR21" i="16"/>
  <c r="BR22" i="16"/>
  <c r="BP10" i="16"/>
  <c r="BP11" i="16"/>
  <c r="BP12" i="16"/>
  <c r="BP13" i="16"/>
  <c r="BP16" i="16"/>
  <c r="BP17" i="16"/>
  <c r="BP18" i="16"/>
  <c r="BP19" i="16"/>
  <c r="BP20" i="16"/>
  <c r="BP21" i="16"/>
  <c r="BP22" i="16"/>
  <c r="BP9" i="16"/>
  <c r="BK10" i="16"/>
  <c r="BK11" i="16"/>
  <c r="BK12" i="16"/>
  <c r="BK13" i="16"/>
  <c r="BK23" i="16"/>
  <c r="BK9" i="16"/>
  <c r="BJ10" i="16"/>
  <c r="BJ11" i="16"/>
  <c r="BJ12" i="16"/>
  <c r="BJ13" i="16"/>
  <c r="BJ16" i="16"/>
  <c r="BJ17" i="16"/>
  <c r="BJ18" i="16"/>
  <c r="BJ19" i="16"/>
  <c r="BJ21" i="16"/>
  <c r="C16" i="2"/>
  <c r="D16" i="2" s="1"/>
  <c r="C9" i="2"/>
  <c r="D9" i="2" s="1"/>
  <c r="BF10" i="16"/>
  <c r="BF11" i="16"/>
  <c r="BF12" i="16"/>
  <c r="BF13" i="16"/>
  <c r="BF16" i="16"/>
  <c r="BF17" i="16"/>
  <c r="BF18" i="16"/>
  <c r="BF20" i="16"/>
  <c r="BF21" i="16"/>
  <c r="BF9" i="16"/>
  <c r="BE10" i="16"/>
  <c r="BE11" i="16"/>
  <c r="BE12" i="16"/>
  <c r="BE13" i="16"/>
  <c r="BE16" i="16"/>
  <c r="BE17" i="16"/>
  <c r="BE18" i="16"/>
  <c r="BE21" i="16"/>
  <c r="BE9" i="16"/>
  <c r="BD10" i="16"/>
  <c r="BD11" i="16"/>
  <c r="BD12" i="16"/>
  <c r="BD13" i="16"/>
  <c r="BD16" i="16"/>
  <c r="BD17" i="16"/>
  <c r="BD18" i="16"/>
  <c r="BD20" i="16"/>
  <c r="BD22" i="16"/>
  <c r="BD9" i="16"/>
  <c r="BC10" i="16"/>
  <c r="BC11" i="16"/>
  <c r="BC12" i="16"/>
  <c r="BC13" i="16"/>
  <c r="BC16" i="16"/>
  <c r="BC17" i="16"/>
  <c r="BC18" i="16"/>
  <c r="BC19" i="16"/>
  <c r="BC21" i="16"/>
  <c r="BC9" i="16"/>
  <c r="BB14" i="16"/>
  <c r="BA23"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21" i="16"/>
  <c r="AV9" i="16"/>
  <c r="AU10" i="16"/>
  <c r="AU11" i="16"/>
  <c r="AU12" i="16"/>
  <c r="AU13" i="16"/>
  <c r="AU16" i="16"/>
  <c r="AU17" i="16"/>
  <c r="AU18" i="16"/>
  <c r="AU19" i="16"/>
  <c r="AU21" i="16"/>
  <c r="AU9" i="16"/>
  <c r="AT10" i="16"/>
  <c r="AT11" i="16"/>
  <c r="AT12" i="16"/>
  <c r="AT13" i="16"/>
  <c r="AT16" i="16"/>
  <c r="AT17" i="16"/>
  <c r="AT18" i="16"/>
  <c r="AT19" i="16"/>
  <c r="AT21" i="16"/>
  <c r="AT9" i="16"/>
  <c r="AS10" i="16"/>
  <c r="AS11" i="16"/>
  <c r="AS12" i="16"/>
  <c r="AS13" i="16"/>
  <c r="AS16" i="16"/>
  <c r="AS17" i="16"/>
  <c r="AS18" i="16"/>
  <c r="AS19" i="16"/>
  <c r="AS21" i="16"/>
  <c r="AS9" i="16"/>
  <c r="AQ14" i="16"/>
  <c r="AP23" i="16"/>
  <c r="AO14" i="16"/>
  <c r="AN14" i="16"/>
  <c r="AN23" i="16"/>
  <c r="AE10" i="17"/>
  <c r="AE11" i="17"/>
  <c r="AE12" i="17"/>
  <c r="AE13" i="17"/>
  <c r="AE16" i="17"/>
  <c r="AE17" i="17"/>
  <c r="AE18" i="17"/>
  <c r="AE22" i="17"/>
  <c r="AE9" i="17"/>
  <c r="AM10" i="16"/>
  <c r="AM11" i="16"/>
  <c r="AM12" i="16"/>
  <c r="AM13" i="16"/>
  <c r="AM16" i="16"/>
  <c r="AM17" i="16"/>
  <c r="AM18" i="16"/>
  <c r="AM19" i="16"/>
  <c r="AM22" i="16"/>
  <c r="AM9" i="16"/>
  <c r="AD14" i="17"/>
  <c r="AD23" i="17"/>
  <c r="AC14" i="17"/>
  <c r="AB14" i="17"/>
  <c r="AL23" i="16"/>
  <c r="AK14" i="16"/>
  <c r="AK23" i="16"/>
  <c r="AG23" i="16"/>
  <c r="AA22" i="17"/>
  <c r="AA18" i="17"/>
  <c r="AA17" i="17"/>
  <c r="AA16" i="17"/>
  <c r="AF19" i="16"/>
  <c r="AF20" i="16"/>
  <c r="AF21" i="16"/>
  <c r="AF18" i="16"/>
  <c r="AF17" i="16"/>
  <c r="AF16" i="16"/>
  <c r="Y17" i="17"/>
  <c r="Y18" i="17"/>
  <c r="Y16" i="17"/>
  <c r="AB18" i="16"/>
  <c r="AB17" i="16"/>
  <c r="AB16" i="16"/>
  <c r="AC10" i="16"/>
  <c r="AC11" i="16"/>
  <c r="AC12" i="16"/>
  <c r="AC13" i="16"/>
  <c r="AC16" i="16"/>
  <c r="AC17" i="16"/>
  <c r="AC18" i="16"/>
  <c r="AC19" i="16"/>
  <c r="AC22" i="16"/>
  <c r="AC9" i="16"/>
  <c r="Y22" i="17"/>
  <c r="AQ22" i="17" s="1"/>
  <c r="AB19" i="16"/>
  <c r="AB20" i="16"/>
  <c r="AB21" i="16"/>
  <c r="W10" i="17"/>
  <c r="W12" i="17"/>
  <c r="W13" i="17"/>
  <c r="W17" i="17"/>
  <c r="W22" i="17"/>
  <c r="Z10" i="16"/>
  <c r="Z12" i="16"/>
  <c r="Z13" i="16"/>
  <c r="Z17" i="16"/>
  <c r="Z19" i="16"/>
  <c r="Z22" i="16"/>
  <c r="R10" i="16"/>
  <c r="R11" i="16"/>
  <c r="R12" i="16"/>
  <c r="R13" i="16"/>
  <c r="R16" i="16"/>
  <c r="R17" i="16"/>
  <c r="BM17" i="16" s="1"/>
  <c r="R18" i="16"/>
  <c r="BM18" i="16" s="1"/>
  <c r="R22" i="16"/>
  <c r="BM22" i="16" s="1"/>
  <c r="R9" i="16"/>
  <c r="Q10" i="16"/>
  <c r="Q11" i="16"/>
  <c r="Q12" i="16"/>
  <c r="Q13" i="16"/>
  <c r="Q16" i="16"/>
  <c r="Q17" i="16"/>
  <c r="Q18" i="16"/>
  <c r="Q19" i="16"/>
  <c r="Q20" i="16"/>
  <c r="Q21" i="16"/>
  <c r="Q22" i="16"/>
  <c r="Q9" i="16"/>
  <c r="N10" i="17"/>
  <c r="N11" i="17"/>
  <c r="N12" i="17"/>
  <c r="N13" i="17"/>
  <c r="N16" i="17"/>
  <c r="N17" i="17"/>
  <c r="N18" i="17"/>
  <c r="N22" i="17"/>
  <c r="N9" i="17"/>
  <c r="O14" i="16"/>
  <c r="H14" i="16"/>
  <c r="BN14" i="16"/>
  <c r="BO14" i="16"/>
  <c r="BQ14" i="16"/>
  <c r="AO23" i="16"/>
  <c r="AQ23" i="16"/>
  <c r="BB23" i="16"/>
  <c r="M16" i="16"/>
  <c r="M17" i="16"/>
  <c r="M18" i="16"/>
  <c r="M19" i="16"/>
  <c r="M20" i="16"/>
  <c r="M21" i="16"/>
  <c r="M22" i="16"/>
  <c r="M10" i="16"/>
  <c r="M11" i="16"/>
  <c r="M12" i="16"/>
  <c r="M13" i="16"/>
  <c r="M9" i="16"/>
  <c r="E16" i="16"/>
  <c r="I18" i="16"/>
  <c r="I19" i="16"/>
  <c r="I20" i="16"/>
  <c r="I21" i="16"/>
  <c r="I22" i="16"/>
  <c r="G20" i="16"/>
  <c r="G21" i="16"/>
  <c r="G22" i="16"/>
  <c r="G19" i="16"/>
  <c r="G17" i="16"/>
  <c r="G18" i="16"/>
  <c r="G16" i="16"/>
  <c r="E17" i="17"/>
  <c r="E18" i="17"/>
  <c r="E22" i="17"/>
  <c r="E16" i="17"/>
  <c r="E17" i="16"/>
  <c r="E18" i="16"/>
  <c r="E19" i="16"/>
  <c r="E20" i="16"/>
  <c r="E21" i="16"/>
  <c r="E22" i="16"/>
  <c r="BJ25" i="16"/>
  <c r="BJ28" i="16"/>
  <c r="BJ29" i="16"/>
  <c r="BJ37" i="16"/>
  <c r="BJ38" i="16"/>
  <c r="BG25" i="16"/>
  <c r="BG28" i="16"/>
  <c r="BG29" i="16"/>
  <c r="BG37" i="16"/>
  <c r="BG38" i="16"/>
  <c r="BI38" i="16"/>
  <c r="BI37" i="16"/>
  <c r="F38" i="17"/>
  <c r="E37" i="17"/>
  <c r="E29" i="17"/>
  <c r="E28" i="17"/>
  <c r="E25" i="17"/>
  <c r="E29" i="16"/>
  <c r="E28" i="16"/>
  <c r="Q28" i="16"/>
  <c r="AN25" i="17"/>
  <c r="AE29" i="17"/>
  <c r="AE28" i="17"/>
  <c r="N29" i="17"/>
  <c r="N28" i="17"/>
  <c r="AG30" i="17"/>
  <c r="AW29" i="17"/>
  <c r="AV29" i="17"/>
  <c r="AP29" i="17"/>
  <c r="AM29" i="17"/>
  <c r="AL29" i="17"/>
  <c r="AK29" i="17"/>
  <c r="AJ29" i="17"/>
  <c r="AF29" i="17"/>
  <c r="AA29" i="17"/>
  <c r="W29" i="17"/>
  <c r="AW28" i="17"/>
  <c r="AV28" i="17"/>
  <c r="AP28" i="17"/>
  <c r="AM28" i="17"/>
  <c r="AL28" i="17"/>
  <c r="AK28" i="17"/>
  <c r="AJ28" i="17"/>
  <c r="AI30" i="17"/>
  <c r="AH30" i="17"/>
  <c r="AF28" i="17"/>
  <c r="AC30" i="17"/>
  <c r="AB30" i="17"/>
  <c r="AA28" i="17"/>
  <c r="W28" i="17"/>
  <c r="BK29" i="16"/>
  <c r="BK28" i="16"/>
  <c r="BS29" i="16"/>
  <c r="BR29" i="16"/>
  <c r="BP29" i="16"/>
  <c r="BF29" i="16"/>
  <c r="BE29" i="16"/>
  <c r="BD29" i="16"/>
  <c r="BC29" i="16"/>
  <c r="AV29" i="16"/>
  <c r="AU29" i="16"/>
  <c r="AT29" i="16"/>
  <c r="AS29" i="16"/>
  <c r="AM29" i="16"/>
  <c r="AG30" i="16"/>
  <c r="AF29" i="16"/>
  <c r="AC29" i="16"/>
  <c r="AB29" i="16"/>
  <c r="Z29" i="16"/>
  <c r="R29" i="16"/>
  <c r="Q29" i="16"/>
  <c r="M29" i="16"/>
  <c r="I29" i="16"/>
  <c r="BS28" i="16"/>
  <c r="BR28" i="16"/>
  <c r="BP28" i="16"/>
  <c r="BF28" i="16"/>
  <c r="BE28" i="16"/>
  <c r="BD28" i="16"/>
  <c r="BC28" i="16"/>
  <c r="AV28" i="16"/>
  <c r="AU28" i="16"/>
  <c r="AT28" i="16"/>
  <c r="AS28" i="16"/>
  <c r="AM28" i="16"/>
  <c r="AF28" i="16"/>
  <c r="AC28" i="16"/>
  <c r="AB28" i="16"/>
  <c r="Z28" i="16"/>
  <c r="R28" i="16"/>
  <c r="R30" i="16" s="1"/>
  <c r="M28" i="16"/>
  <c r="I28" i="16"/>
  <c r="AD30" i="17"/>
  <c r="BB30" i="16"/>
  <c r="AK30" i="16"/>
  <c r="BB12" i="13"/>
  <c r="BB11" i="13"/>
  <c r="BA12" i="13"/>
  <c r="BA11" i="13"/>
  <c r="AZ12" i="13"/>
  <c r="AZ11" i="13"/>
  <c r="AY12" i="13"/>
  <c r="AY11" i="13"/>
  <c r="BB9" i="13"/>
  <c r="BA9" i="13"/>
  <c r="AY9" i="13"/>
  <c r="BC12" i="13"/>
  <c r="BC11" i="13"/>
  <c r="BC10" i="13"/>
  <c r="BB10" i="13"/>
  <c r="BA10" i="13"/>
  <c r="AZ10" i="13"/>
  <c r="AY10" i="13"/>
  <c r="BC9" i="13"/>
  <c r="BC29" i="13"/>
  <c r="BB29" i="13"/>
  <c r="BA29" i="13"/>
  <c r="AZ29" i="13"/>
  <c r="AY29" i="13"/>
  <c r="BC28" i="13"/>
  <c r="BB28" i="13"/>
  <c r="BA28" i="13"/>
  <c r="AZ28" i="13"/>
  <c r="AY28" i="13"/>
  <c r="BC22" i="13"/>
  <c r="BB22" i="13"/>
  <c r="BA22" i="13"/>
  <c r="BF22" i="13" s="1"/>
  <c r="AZ22" i="13"/>
  <c r="AY22" i="13"/>
  <c r="BC21" i="13"/>
  <c r="BB21" i="13"/>
  <c r="BA21" i="13"/>
  <c r="AZ21" i="13"/>
  <c r="AY21" i="13"/>
  <c r="BC20" i="13"/>
  <c r="BB20" i="13"/>
  <c r="BA20" i="13"/>
  <c r="AZ20" i="13"/>
  <c r="AY20" i="13"/>
  <c r="BC19" i="13"/>
  <c r="BB19" i="13"/>
  <c r="BA19" i="13"/>
  <c r="AZ19" i="13"/>
  <c r="AY19" i="13"/>
  <c r="BC18" i="13"/>
  <c r="BB18" i="13"/>
  <c r="BA18" i="13"/>
  <c r="AZ18" i="13"/>
  <c r="AY18" i="13"/>
  <c r="BC17" i="13"/>
  <c r="BG17" i="13"/>
  <c r="BC16" i="13"/>
  <c r="BD16" i="13"/>
  <c r="BC13" i="13"/>
  <c r="BB13" i="13"/>
  <c r="BA13" i="13"/>
  <c r="AZ13" i="13"/>
  <c r="AY13" i="13"/>
  <c r="AW13" i="13"/>
  <c r="AW14" i="13" s="1"/>
  <c r="AU13" i="13"/>
  <c r="AU14" i="13" s="1"/>
  <c r="AS13" i="13"/>
  <c r="AS14" i="13" s="1"/>
  <c r="C5" i="17"/>
  <c r="C42" i="17"/>
  <c r="B32" i="17"/>
  <c r="C31" i="17"/>
  <c r="C30" i="17"/>
  <c r="C29" i="17"/>
  <c r="A29" i="17"/>
  <c r="C28" i="17"/>
  <c r="A28" i="17"/>
  <c r="C27" i="17"/>
  <c r="C26" i="17"/>
  <c r="AD26" i="17"/>
  <c r="AW25" i="17"/>
  <c r="AV25" i="17"/>
  <c r="AP25" i="17"/>
  <c r="AM25" i="17"/>
  <c r="AL25" i="17"/>
  <c r="AK25" i="17"/>
  <c r="AJ25" i="17"/>
  <c r="AI25" i="17"/>
  <c r="AH25" i="17"/>
  <c r="AG25" i="17"/>
  <c r="AF25" i="17"/>
  <c r="AC25" i="17"/>
  <c r="AB25" i="17"/>
  <c r="AA25" i="17"/>
  <c r="W25" i="17"/>
  <c r="C25" i="17"/>
  <c r="A25" i="17"/>
  <c r="C24" i="17"/>
  <c r="C23" i="17"/>
  <c r="C22" i="17"/>
  <c r="A22" i="17"/>
  <c r="C18" i="17"/>
  <c r="A18" i="17"/>
  <c r="C17" i="17"/>
  <c r="A17" i="17"/>
  <c r="C16" i="17"/>
  <c r="A16" i="17"/>
  <c r="C15" i="17"/>
  <c r="C14" i="17"/>
  <c r="C13" i="17"/>
  <c r="A13" i="17"/>
  <c r="C12" i="17"/>
  <c r="A12" i="17"/>
  <c r="C11" i="17"/>
  <c r="A11" i="17"/>
  <c r="C10" i="17"/>
  <c r="A10" i="17"/>
  <c r="C9" i="17"/>
  <c r="C8" i="17"/>
  <c r="C7" i="17"/>
  <c r="C42" i="16"/>
  <c r="C5" i="16"/>
  <c r="C31" i="16"/>
  <c r="C30" i="16"/>
  <c r="C29" i="16"/>
  <c r="A29" i="16"/>
  <c r="C28" i="16"/>
  <c r="A28" i="16"/>
  <c r="C27" i="16"/>
  <c r="C26" i="16"/>
  <c r="AL26" i="16"/>
  <c r="BS25" i="16"/>
  <c r="BR25" i="16"/>
  <c r="BP25" i="16"/>
  <c r="BF25" i="16"/>
  <c r="BE25" i="16"/>
  <c r="BD25" i="16"/>
  <c r="BC25" i="16"/>
  <c r="BB25" i="16"/>
  <c r="BA25" i="16"/>
  <c r="AZ25" i="16"/>
  <c r="AY25" i="16"/>
  <c r="AX25" i="16"/>
  <c r="AW25" i="16"/>
  <c r="AV25" i="16"/>
  <c r="AU25" i="16"/>
  <c r="AT25" i="16"/>
  <c r="AS25" i="16"/>
  <c r="AQ25" i="16"/>
  <c r="AO25" i="16"/>
  <c r="AN25" i="16"/>
  <c r="AM25" i="16"/>
  <c r="AK25" i="16"/>
  <c r="AG25" i="16"/>
  <c r="AF25" i="16"/>
  <c r="AC25" i="16"/>
  <c r="AB25" i="16"/>
  <c r="Z25" i="16"/>
  <c r="R25" i="16"/>
  <c r="BM25" i="16" s="1"/>
  <c r="Q25" i="16"/>
  <c r="M25" i="16"/>
  <c r="I25" i="16"/>
  <c r="E25" i="16"/>
  <c r="C25" i="16"/>
  <c r="C24" i="16"/>
  <c r="C23" i="16"/>
  <c r="C22" i="16"/>
  <c r="A22" i="16"/>
  <c r="C21" i="16"/>
  <c r="A21" i="16"/>
  <c r="C20" i="16"/>
  <c r="A20" i="16"/>
  <c r="C19" i="16"/>
  <c r="A19" i="16"/>
  <c r="C18" i="16"/>
  <c r="A18" i="16"/>
  <c r="C17" i="16"/>
  <c r="A17" i="16"/>
  <c r="C16" i="16"/>
  <c r="A16" i="16"/>
  <c r="C15" i="16"/>
  <c r="C14" i="16"/>
  <c r="C13" i="16"/>
  <c r="A13" i="16"/>
  <c r="C12" i="16"/>
  <c r="A12" i="16"/>
  <c r="C11" i="16"/>
  <c r="A11" i="16"/>
  <c r="C10" i="16"/>
  <c r="A10" i="16"/>
  <c r="C9" i="16"/>
  <c r="A9" i="16"/>
  <c r="C8" i="16"/>
  <c r="C7" i="16"/>
  <c r="AP38" i="17"/>
  <c r="AO38" i="17"/>
  <c r="AN38" i="17"/>
  <c r="AM38" i="17"/>
  <c r="AL38" i="17"/>
  <c r="AJ38" i="17"/>
  <c r="AI38" i="17"/>
  <c r="AH38" i="17"/>
  <c r="AG38" i="17"/>
  <c r="AF38" i="17"/>
  <c r="AC38" i="17"/>
  <c r="AB38" i="17"/>
  <c r="AA38" i="17"/>
  <c r="X38" i="17"/>
  <c r="W38" i="17"/>
  <c r="E38" i="17"/>
  <c r="AP37" i="17"/>
  <c r="AO37" i="17"/>
  <c r="AN37" i="17"/>
  <c r="AM37" i="17"/>
  <c r="AL37" i="17"/>
  <c r="AJ37" i="17"/>
  <c r="AI37" i="17"/>
  <c r="AH37" i="17"/>
  <c r="AG37" i="17"/>
  <c r="AF37" i="17"/>
  <c r="AC37" i="17"/>
  <c r="AB37" i="17"/>
  <c r="AA37" i="17"/>
  <c r="X37" i="17"/>
  <c r="W37" i="17"/>
  <c r="F37" i="17"/>
  <c r="BP38" i="16"/>
  <c r="BM38" i="16"/>
  <c r="BL38" i="16"/>
  <c r="BH38" i="16"/>
  <c r="BF38" i="16"/>
  <c r="BE38" i="16"/>
  <c r="BC38" i="16"/>
  <c r="BB38" i="16"/>
  <c r="BA38" i="16"/>
  <c r="AV38" i="16"/>
  <c r="AU38" i="16"/>
  <c r="AT38" i="16"/>
  <c r="AS38" i="16"/>
  <c r="AM38" i="16"/>
  <c r="AK38" i="16"/>
  <c r="AG38" i="16"/>
  <c r="AF38" i="16"/>
  <c r="AC38" i="16"/>
  <c r="AB38" i="16"/>
  <c r="AA38" i="16"/>
  <c r="Z38" i="16"/>
  <c r="U38" i="16"/>
  <c r="R38" i="16"/>
  <c r="Q38" i="16"/>
  <c r="I38" i="16"/>
  <c r="G38" i="16"/>
  <c r="F38" i="16"/>
  <c r="E38" i="16"/>
  <c r="BP37" i="16"/>
  <c r="BM37" i="16"/>
  <c r="BL37" i="16"/>
  <c r="BH37" i="16"/>
  <c r="BF37" i="16"/>
  <c r="BE37" i="16"/>
  <c r="BC37" i="16"/>
  <c r="BB37" i="16"/>
  <c r="BA37" i="16"/>
  <c r="AV37" i="16"/>
  <c r="AU37" i="16"/>
  <c r="AT37" i="16"/>
  <c r="AS37" i="16"/>
  <c r="AM37" i="16"/>
  <c r="AK37" i="16"/>
  <c r="AG37" i="16"/>
  <c r="AF37" i="16"/>
  <c r="AC37" i="16"/>
  <c r="AB37" i="16"/>
  <c r="AA37" i="16"/>
  <c r="Z37" i="16"/>
  <c r="U37" i="16"/>
  <c r="R37" i="16"/>
  <c r="Q37" i="16"/>
  <c r="I37" i="16"/>
  <c r="G37" i="16"/>
  <c r="F37" i="16"/>
  <c r="E37" i="16"/>
  <c r="BA30" i="16"/>
  <c r="BM26" i="8"/>
  <c r="BM14" i="8"/>
  <c r="BM23" i="8"/>
  <c r="BM30" i="8"/>
  <c r="AS30" i="8"/>
  <c r="BC25" i="13"/>
  <c r="BB25" i="13"/>
  <c r="BA25" i="13"/>
  <c r="BF25" i="13" s="1"/>
  <c r="AZ25" i="13"/>
  <c r="AY25" i="13"/>
  <c r="J18" i="14"/>
  <c r="S18" i="11"/>
  <c r="S17" i="11"/>
  <c r="S20" i="11"/>
  <c r="AI22" i="11"/>
  <c r="AI20" i="11"/>
  <c r="A2" i="8"/>
  <c r="Z29" i="14"/>
  <c r="Y29" i="14"/>
  <c r="X29" i="14"/>
  <c r="Z28" i="14"/>
  <c r="Y28" i="14"/>
  <c r="X28" i="14"/>
  <c r="Z25" i="14"/>
  <c r="Y25" i="14"/>
  <c r="X25" i="14"/>
  <c r="Z22" i="14"/>
  <c r="Y22" i="14"/>
  <c r="X22" i="14"/>
  <c r="Z21" i="14"/>
  <c r="Y21" i="14"/>
  <c r="X21" i="14"/>
  <c r="Z20" i="14"/>
  <c r="Y20" i="14"/>
  <c r="X20" i="14"/>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29" i="14"/>
  <c r="AA28" i="14"/>
  <c r="AA25" i="14"/>
  <c r="AA22" i="14"/>
  <c r="AA21" i="14"/>
  <c r="AA20" i="14"/>
  <c r="AA19" i="14"/>
  <c r="AA18" i="14"/>
  <c r="AA17" i="14"/>
  <c r="AA16" i="14"/>
  <c r="AA13" i="14"/>
  <c r="AA12" i="14"/>
  <c r="AA11" i="14"/>
  <c r="AA10" i="14"/>
  <c r="AA9" i="14"/>
  <c r="B4" i="14"/>
  <c r="AD29" i="14"/>
  <c r="AC29" i="14"/>
  <c r="AB29" i="14"/>
  <c r="AD28" i="14"/>
  <c r="AC28" i="14"/>
  <c r="AB28" i="14"/>
  <c r="AD25" i="14"/>
  <c r="AC25" i="14"/>
  <c r="AB25" i="14"/>
  <c r="AD22" i="14"/>
  <c r="AC22" i="14"/>
  <c r="AB22" i="14"/>
  <c r="AD21" i="14"/>
  <c r="AC21" i="14"/>
  <c r="AB21" i="14"/>
  <c r="AD20" i="14"/>
  <c r="AC20" i="14"/>
  <c r="AB20"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29" i="11"/>
  <c r="F29" i="11" s="1"/>
  <c r="K28" i="11"/>
  <c r="F28" i="11" s="1"/>
  <c r="K25" i="11"/>
  <c r="F25" i="11" s="1"/>
  <c r="K21" i="11"/>
  <c r="F21" i="11" s="1"/>
  <c r="K22" i="11"/>
  <c r="F22" i="11" s="1"/>
  <c r="K17" i="11"/>
  <c r="K18" i="11"/>
  <c r="K19" i="11"/>
  <c r="F19" i="11" s="1"/>
  <c r="K20" i="11"/>
  <c r="F20" i="11" s="1"/>
  <c r="K16" i="11"/>
  <c r="K10" i="11"/>
  <c r="F10" i="11" s="1"/>
  <c r="K11" i="11"/>
  <c r="K12" i="11"/>
  <c r="K13" i="11"/>
  <c r="F13" i="11" s="1"/>
  <c r="K9" i="11"/>
  <c r="A5" i="7"/>
  <c r="A5" i="6"/>
  <c r="B5" i="14"/>
  <c r="A5" i="2"/>
  <c r="S16" i="11"/>
  <c r="B10" i="3"/>
  <c r="B11" i="3"/>
  <c r="B12" i="3"/>
  <c r="B13" i="3"/>
  <c r="B15" i="3"/>
  <c r="B16" i="3"/>
  <c r="B17" i="3"/>
  <c r="B18" i="3"/>
  <c r="B19" i="3"/>
  <c r="B20" i="3"/>
  <c r="B21" i="3"/>
  <c r="B22" i="3"/>
  <c r="B24" i="3"/>
  <c r="B25" i="3"/>
  <c r="B27" i="3"/>
  <c r="B28" i="3"/>
  <c r="B29" i="3"/>
  <c r="CF23" i="8"/>
  <c r="N23" i="12" s="1"/>
  <c r="CE23" i="8"/>
  <c r="M23" i="12" s="1"/>
  <c r="CD23" i="8"/>
  <c r="CC23" i="8"/>
  <c r="CB23" i="8"/>
  <c r="CA23" i="8"/>
  <c r="BL23" i="8"/>
  <c r="BK23" i="8"/>
  <c r="BJ23" i="8"/>
  <c r="BI23" i="8"/>
  <c r="BH23" i="8"/>
  <c r="AR23" i="8"/>
  <c r="C23" i="3" s="1"/>
  <c r="AQ23" i="8"/>
  <c r="AP23" i="8"/>
  <c r="AO23" i="8"/>
  <c r="B23" i="3" s="1"/>
  <c r="AN23" i="8"/>
  <c r="AM23" i="8"/>
  <c r="AL23" i="8"/>
  <c r="AK23" i="8"/>
  <c r="AJ23" i="8"/>
  <c r="T23" i="12" s="1"/>
  <c r="AI23" i="8"/>
  <c r="S23" i="12" s="1"/>
  <c r="AH23" i="8"/>
  <c r="R23" i="12" s="1"/>
  <c r="AG23" i="8"/>
  <c r="Q23" i="12" s="1"/>
  <c r="AF23" i="8"/>
  <c r="AE23" i="8"/>
  <c r="AD23" i="8"/>
  <c r="AC23" i="8"/>
  <c r="AB23" i="8"/>
  <c r="AA23" i="8"/>
  <c r="Z23" i="8"/>
  <c r="Y23" i="8"/>
  <c r="X23" i="8"/>
  <c r="W23" i="8"/>
  <c r="V23" i="8"/>
  <c r="U23" i="8"/>
  <c r="T23" i="8"/>
  <c r="S23" i="8"/>
  <c r="R23" i="8"/>
  <c r="Q23" i="8"/>
  <c r="P23" i="8"/>
  <c r="O23" i="8"/>
  <c r="M23" i="8"/>
  <c r="N23" i="8"/>
  <c r="L23" i="8"/>
  <c r="E23" i="7" s="1"/>
  <c r="K23" i="8"/>
  <c r="J23" i="8"/>
  <c r="I23" i="8"/>
  <c r="CF14" i="8"/>
  <c r="N14" i="12" s="1"/>
  <c r="CE14" i="8"/>
  <c r="M14" i="12" s="1"/>
  <c r="CD14" i="8"/>
  <c r="CC14" i="8"/>
  <c r="CB14" i="8"/>
  <c r="CA14" i="8"/>
  <c r="BL14" i="8"/>
  <c r="BK14" i="8"/>
  <c r="BJ14" i="8"/>
  <c r="BI14" i="8"/>
  <c r="BH14" i="8"/>
  <c r="AR14" i="8"/>
  <c r="C14" i="3" s="1"/>
  <c r="AQ14" i="8"/>
  <c r="AP14" i="8"/>
  <c r="AO14" i="8"/>
  <c r="B14" i="3" s="1"/>
  <c r="AN14" i="8"/>
  <c r="AM14" i="8"/>
  <c r="AL14" i="8"/>
  <c r="AK14" i="8"/>
  <c r="AJ14" i="8"/>
  <c r="AI14" i="8"/>
  <c r="AH14" i="8"/>
  <c r="AG14" i="8"/>
  <c r="AF14" i="8"/>
  <c r="AE14" i="8"/>
  <c r="AD14" i="8"/>
  <c r="AC14" i="8"/>
  <c r="AB14" i="8"/>
  <c r="AA14" i="8"/>
  <c r="Z14" i="8"/>
  <c r="Y14" i="8"/>
  <c r="X14" i="8"/>
  <c r="W14" i="8"/>
  <c r="V14" i="8"/>
  <c r="U14" i="8"/>
  <c r="T14" i="8"/>
  <c r="S14" i="8"/>
  <c r="R14" i="8"/>
  <c r="Q14" i="8"/>
  <c r="P14" i="8"/>
  <c r="O14" i="8"/>
  <c r="N14" i="8"/>
  <c r="M14" i="8"/>
  <c r="L14" i="8"/>
  <c r="K14" i="8"/>
  <c r="J14" i="8"/>
  <c r="I14" i="8"/>
  <c r="CV23" i="8"/>
  <c r="CV14" i="8"/>
  <c r="CL23" i="8"/>
  <c r="CK23" i="8"/>
  <c r="CJ23" i="8"/>
  <c r="CI23" i="8"/>
  <c r="CH23" i="8"/>
  <c r="P23" i="12" s="1"/>
  <c r="CG23" i="8"/>
  <c r="O23" i="12" s="1"/>
  <c r="CU14" i="8"/>
  <c r="CT14" i="8"/>
  <c r="CS14" i="8"/>
  <c r="CL14" i="8"/>
  <c r="CK14" i="8"/>
  <c r="CJ14" i="8"/>
  <c r="CI14" i="8"/>
  <c r="CH14" i="8"/>
  <c r="P14" i="12" s="1"/>
  <c r="CG14" i="8"/>
  <c r="O14" i="12" s="1"/>
  <c r="A23" i="3"/>
  <c r="Q16" i="14"/>
  <c r="Q11" i="14"/>
  <c r="Q9" i="14"/>
  <c r="S4" i="9"/>
  <c r="S5" i="9"/>
  <c r="S6" i="9"/>
  <c r="S3" i="9"/>
  <c r="H9" i="11"/>
  <c r="I11" i="11"/>
  <c r="I12" i="11"/>
  <c r="H12" i="11"/>
  <c r="I9" i="11"/>
  <c r="S9" i="11"/>
  <c r="AS13" i="8"/>
  <c r="U13" i="16" s="1"/>
  <c r="S11" i="11"/>
  <c r="O30" i="11"/>
  <c r="O26" i="11"/>
  <c r="AA17" i="11"/>
  <c r="AA16" i="11"/>
  <c r="AA12" i="11"/>
  <c r="AA11" i="11"/>
  <c r="AA29" i="11"/>
  <c r="AA28" i="11"/>
  <c r="AA25" i="11"/>
  <c r="AA22" i="11"/>
  <c r="AA21" i="11"/>
  <c r="AA20" i="11"/>
  <c r="AA19" i="11"/>
  <c r="AA18" i="11"/>
  <c r="AA13" i="11"/>
  <c r="AA10" i="11"/>
  <c r="K37" i="11"/>
  <c r="K38" i="11"/>
  <c r="L2" i="11"/>
  <c r="F2" i="11"/>
  <c r="N2" i="11"/>
  <c r="I21" i="11"/>
  <c r="L29" i="11"/>
  <c r="L28" i="11"/>
  <c r="L25" i="11"/>
  <c r="L22" i="11"/>
  <c r="L21" i="11"/>
  <c r="L20" i="11"/>
  <c r="L19" i="11"/>
  <c r="L18" i="11"/>
  <c r="L17" i="11"/>
  <c r="L16" i="11"/>
  <c r="L13" i="11"/>
  <c r="L12" i="11"/>
  <c r="L11" i="11"/>
  <c r="L10" i="11"/>
  <c r="L9" i="11"/>
  <c r="E37" i="11"/>
  <c r="E38" i="11"/>
  <c r="AH37" i="11"/>
  <c r="AH38" i="11"/>
  <c r="M29" i="11"/>
  <c r="AR29" i="11" s="1"/>
  <c r="M28" i="11"/>
  <c r="AR28" i="11" s="1"/>
  <c r="M25" i="11"/>
  <c r="AR25" i="11" s="1"/>
  <c r="M22" i="11"/>
  <c r="AR22" i="11" s="1"/>
  <c r="M21" i="11"/>
  <c r="AR21" i="11" s="1"/>
  <c r="M20" i="11"/>
  <c r="AR20" i="11" s="1"/>
  <c r="M19" i="11"/>
  <c r="M18" i="11"/>
  <c r="AR18" i="11" s="1"/>
  <c r="M17" i="11"/>
  <c r="AR17" i="11" s="1"/>
  <c r="M16" i="11"/>
  <c r="AR16" i="11" s="1"/>
  <c r="M13" i="11"/>
  <c r="AR13" i="11" s="1"/>
  <c r="M12" i="11"/>
  <c r="AR12" i="11" s="1"/>
  <c r="M11" i="11"/>
  <c r="AR11" i="11" s="1"/>
  <c r="M10" i="11"/>
  <c r="AR10" i="11" s="1"/>
  <c r="M9" i="11"/>
  <c r="AR9" i="11" s="1"/>
  <c r="J29" i="11"/>
  <c r="I29" i="11"/>
  <c r="J28" i="11"/>
  <c r="I28" i="11"/>
  <c r="J25" i="11"/>
  <c r="I25" i="11"/>
  <c r="J22" i="11"/>
  <c r="I22" i="11"/>
  <c r="J21" i="11"/>
  <c r="J20" i="11"/>
  <c r="I20" i="11"/>
  <c r="J19" i="11"/>
  <c r="I19" i="11"/>
  <c r="J18" i="11"/>
  <c r="I18" i="11"/>
  <c r="J17" i="11"/>
  <c r="I17" i="11"/>
  <c r="J16" i="11"/>
  <c r="I16" i="11"/>
  <c r="J13" i="11"/>
  <c r="I13" i="11"/>
  <c r="J12" i="11"/>
  <c r="J11" i="11"/>
  <c r="J10" i="11"/>
  <c r="I10" i="11"/>
  <c r="J9" i="11"/>
  <c r="H29" i="11"/>
  <c r="H28" i="11"/>
  <c r="N28" i="11" s="1"/>
  <c r="H25" i="11"/>
  <c r="H22" i="11"/>
  <c r="N22" i="11" s="1"/>
  <c r="H21" i="11"/>
  <c r="H20" i="11"/>
  <c r="H19" i="11"/>
  <c r="H18" i="11"/>
  <c r="N18" i="11" s="1"/>
  <c r="H17" i="11"/>
  <c r="N17" i="11" s="1"/>
  <c r="H16" i="11"/>
  <c r="N16" i="11" s="1"/>
  <c r="H13" i="11"/>
  <c r="H10" i="11"/>
  <c r="AF9" i="11"/>
  <c r="AF10" i="11"/>
  <c r="AF11" i="11"/>
  <c r="AF12" i="11"/>
  <c r="AF13" i="11"/>
  <c r="AF16" i="11"/>
  <c r="AF17" i="11"/>
  <c r="AF18" i="11"/>
  <c r="AF19" i="11"/>
  <c r="AF20" i="11"/>
  <c r="AF21" i="11"/>
  <c r="AF22" i="11"/>
  <c r="AF25" i="11"/>
  <c r="AF28" i="11"/>
  <c r="AF29" i="11"/>
  <c r="AF37" i="11"/>
  <c r="AF38" i="11"/>
  <c r="AB37" i="11"/>
  <c r="AC37" i="11"/>
  <c r="AD37" i="11"/>
  <c r="AB38" i="11"/>
  <c r="AC38" i="11"/>
  <c r="AD38" i="11"/>
  <c r="AD29" i="11"/>
  <c r="AD28" i="11"/>
  <c r="AD25" i="11"/>
  <c r="AD22" i="11"/>
  <c r="AD21" i="11"/>
  <c r="AD20" i="11"/>
  <c r="AD19" i="11"/>
  <c r="AD18" i="11"/>
  <c r="AD17" i="11"/>
  <c r="AD16" i="11"/>
  <c r="AD13" i="11"/>
  <c r="AD12" i="11"/>
  <c r="AD11" i="11"/>
  <c r="AD10" i="11"/>
  <c r="AD9" i="11"/>
  <c r="AB29" i="11"/>
  <c r="AB28" i="11"/>
  <c r="AB25" i="11"/>
  <c r="AB22" i="11"/>
  <c r="AB21" i="11"/>
  <c r="AB20" i="11"/>
  <c r="AB19" i="11"/>
  <c r="AB18" i="11"/>
  <c r="AB17" i="11"/>
  <c r="AB16" i="11"/>
  <c r="AB13" i="11"/>
  <c r="AB12" i="11"/>
  <c r="AB11" i="11"/>
  <c r="AB10" i="11"/>
  <c r="AB9" i="11"/>
  <c r="AA37" i="11"/>
  <c r="AA38" i="11"/>
  <c r="AA9" i="11"/>
  <c r="Z37" i="11"/>
  <c r="Z38" i="11"/>
  <c r="Z29" i="11"/>
  <c r="Z28" i="11"/>
  <c r="Z25" i="11"/>
  <c r="Z22" i="11"/>
  <c r="Z21" i="11"/>
  <c r="Z20" i="11"/>
  <c r="Z19" i="11"/>
  <c r="Z18" i="11"/>
  <c r="Z17" i="11"/>
  <c r="Z16" i="11"/>
  <c r="Z13" i="11"/>
  <c r="Z12" i="11"/>
  <c r="Z11" i="11"/>
  <c r="Z10" i="11"/>
  <c r="Z9" i="11"/>
  <c r="Y37" i="11"/>
  <c r="Y38" i="11"/>
  <c r="X37" i="11"/>
  <c r="X38" i="11"/>
  <c r="X29" i="11"/>
  <c r="X28" i="11"/>
  <c r="X25" i="11"/>
  <c r="X22" i="11"/>
  <c r="X21" i="11"/>
  <c r="X20" i="11"/>
  <c r="X19" i="11"/>
  <c r="X18" i="11"/>
  <c r="X17" i="11"/>
  <c r="X16" i="11"/>
  <c r="X13" i="11"/>
  <c r="X12" i="11"/>
  <c r="X11" i="11"/>
  <c r="X10" i="11"/>
  <c r="X9" i="11"/>
  <c r="S29" i="11"/>
  <c r="S28" i="11"/>
  <c r="S25" i="11"/>
  <c r="S22" i="11"/>
  <c r="S21" i="11"/>
  <c r="S19" i="11"/>
  <c r="S13" i="11"/>
  <c r="S12" i="11"/>
  <c r="S10" i="11"/>
  <c r="U38" i="11"/>
  <c r="T38" i="11"/>
  <c r="S38" i="11"/>
  <c r="U37" i="11"/>
  <c r="T37" i="11"/>
  <c r="S37" i="11"/>
  <c r="R29" i="11"/>
  <c r="R28" i="11"/>
  <c r="R25" i="11"/>
  <c r="R22" i="11"/>
  <c r="R21" i="11"/>
  <c r="R20" i="11"/>
  <c r="R19" i="11"/>
  <c r="R18" i="11"/>
  <c r="R17" i="11"/>
  <c r="R16" i="11"/>
  <c r="R13" i="11"/>
  <c r="R12" i="11"/>
  <c r="R11" i="11"/>
  <c r="R10" i="11"/>
  <c r="R9" i="11"/>
  <c r="J37" i="11"/>
  <c r="L37" i="11"/>
  <c r="M37" i="11"/>
  <c r="N37" i="11"/>
  <c r="Q37" i="11"/>
  <c r="R37" i="11"/>
  <c r="J38" i="11"/>
  <c r="L38" i="11"/>
  <c r="M38" i="11"/>
  <c r="N38" i="11"/>
  <c r="Q38" i="11"/>
  <c r="R38" i="11"/>
  <c r="I38" i="11"/>
  <c r="H38" i="11"/>
  <c r="I37" i="11"/>
  <c r="H37" i="11"/>
  <c r="AR37" i="11"/>
  <c r="AR38" i="11"/>
  <c r="AT37" i="11"/>
  <c r="AU37" i="11"/>
  <c r="AV37" i="11"/>
  <c r="AW37" i="11"/>
  <c r="AT38" i="11"/>
  <c r="AU38" i="11"/>
  <c r="AV38" i="11"/>
  <c r="AW38" i="11"/>
  <c r="AW29" i="11"/>
  <c r="AW28" i="11"/>
  <c r="AW25" i="11"/>
  <c r="AW22" i="11"/>
  <c r="AW21" i="11"/>
  <c r="AW20" i="11"/>
  <c r="AW19" i="11"/>
  <c r="AW18" i="11"/>
  <c r="AW17" i="11"/>
  <c r="AW16" i="11"/>
  <c r="AW13" i="11"/>
  <c r="AW12" i="11"/>
  <c r="AW11" i="11"/>
  <c r="AW10" i="11"/>
  <c r="AW9" i="11"/>
  <c r="AV29" i="11"/>
  <c r="AV28" i="11"/>
  <c r="AV25" i="11"/>
  <c r="AV22" i="11"/>
  <c r="AV21" i="11"/>
  <c r="AV20" i="11"/>
  <c r="AV19" i="11"/>
  <c r="AV18" i="11"/>
  <c r="AV17" i="11"/>
  <c r="AV16" i="11"/>
  <c r="AV13" i="11"/>
  <c r="AV12" i="11"/>
  <c r="AV11" i="11"/>
  <c r="AV10" i="11"/>
  <c r="AV9" i="11"/>
  <c r="AT9" i="11"/>
  <c r="AT10" i="11"/>
  <c r="AT11" i="11"/>
  <c r="AT12" i="11"/>
  <c r="AT13" i="11"/>
  <c r="AT16" i="11"/>
  <c r="AT17" i="11"/>
  <c r="AT18" i="11"/>
  <c r="AT19" i="11"/>
  <c r="AT20" i="11"/>
  <c r="AT21" i="11"/>
  <c r="AT22" i="11"/>
  <c r="AT25" i="11"/>
  <c r="AT28" i="11"/>
  <c r="AT29" i="11"/>
  <c r="AU9" i="11"/>
  <c r="AU10" i="11"/>
  <c r="AU11" i="11"/>
  <c r="AU12" i="11"/>
  <c r="AU13" i="11"/>
  <c r="AU16" i="11"/>
  <c r="AU17" i="11"/>
  <c r="AU18" i="11"/>
  <c r="AU19" i="11"/>
  <c r="AU20" i="11"/>
  <c r="AU21" i="11"/>
  <c r="AU22" i="11"/>
  <c r="AU25" i="11"/>
  <c r="AU28" i="11"/>
  <c r="AU29" i="11"/>
  <c r="W9" i="11"/>
  <c r="W10" i="11"/>
  <c r="W11" i="11"/>
  <c r="W12" i="11"/>
  <c r="W13" i="11"/>
  <c r="W16" i="11"/>
  <c r="Y16" i="11" s="1"/>
  <c r="W17" i="11"/>
  <c r="W18" i="11"/>
  <c r="W19" i="11"/>
  <c r="W20" i="11"/>
  <c r="W21" i="11"/>
  <c r="W22" i="11"/>
  <c r="W25" i="11"/>
  <c r="W28" i="11"/>
  <c r="W29" i="11"/>
  <c r="I16" i="2"/>
  <c r="I17" i="2"/>
  <c r="I18" i="2"/>
  <c r="I19" i="2"/>
  <c r="I20" i="2"/>
  <c r="I21" i="2"/>
  <c r="I22" i="2"/>
  <c r="G16" i="2"/>
  <c r="G17" i="2"/>
  <c r="G18" i="2"/>
  <c r="G19" i="2"/>
  <c r="G20" i="2"/>
  <c r="G21" i="2"/>
  <c r="G22" i="2"/>
  <c r="E16" i="2"/>
  <c r="E17" i="2"/>
  <c r="E18" i="2"/>
  <c r="E19" i="2"/>
  <c r="E20" i="2"/>
  <c r="E21" i="2"/>
  <c r="E22" i="2"/>
  <c r="C17" i="2"/>
  <c r="C18" i="2"/>
  <c r="C19" i="2"/>
  <c r="D19" i="2" s="1"/>
  <c r="C20" i="2"/>
  <c r="C21" i="2"/>
  <c r="C22" i="2"/>
  <c r="I9" i="2"/>
  <c r="I10" i="2"/>
  <c r="I11" i="2"/>
  <c r="I12" i="2"/>
  <c r="I13" i="2"/>
  <c r="C10" i="2"/>
  <c r="D10" i="2" s="1"/>
  <c r="C11" i="2"/>
  <c r="C12" i="2"/>
  <c r="C13" i="2"/>
  <c r="D13" i="2" s="1"/>
  <c r="G9" i="2"/>
  <c r="G10" i="2"/>
  <c r="G11" i="2"/>
  <c r="G12" i="2"/>
  <c r="G13" i="2"/>
  <c r="E9" i="2"/>
  <c r="E10" i="2"/>
  <c r="E11" i="2"/>
  <c r="E12" i="2"/>
  <c r="E13" i="2"/>
  <c r="AH28" i="11"/>
  <c r="AH29" i="11"/>
  <c r="AH25" i="11"/>
  <c r="AH16" i="11"/>
  <c r="AH17" i="11"/>
  <c r="AH18" i="11"/>
  <c r="AH19" i="11"/>
  <c r="AH20" i="11"/>
  <c r="AH21" i="11"/>
  <c r="AH22" i="11"/>
  <c r="AH9" i="11"/>
  <c r="AH10" i="11"/>
  <c r="AH11" i="11"/>
  <c r="AH12" i="11"/>
  <c r="AH13" i="11"/>
  <c r="E29" i="11"/>
  <c r="E28" i="11"/>
  <c r="E25" i="11"/>
  <c r="E22" i="11"/>
  <c r="E21" i="11"/>
  <c r="E20" i="11"/>
  <c r="E19" i="11"/>
  <c r="E18" i="11"/>
  <c r="E17" i="11"/>
  <c r="E16" i="11"/>
  <c r="E13" i="11"/>
  <c r="E12" i="11"/>
  <c r="E11" i="11"/>
  <c r="E10" i="11"/>
  <c r="E9" i="11"/>
  <c r="W29" i="14"/>
  <c r="W28" i="14"/>
  <c r="W25" i="14"/>
  <c r="W22" i="14"/>
  <c r="W21" i="14"/>
  <c r="W20" i="14"/>
  <c r="W19" i="14"/>
  <c r="W18" i="14"/>
  <c r="W17" i="14"/>
  <c r="W16" i="14"/>
  <c r="W13" i="14"/>
  <c r="W12" i="14"/>
  <c r="W11" i="14"/>
  <c r="W10" i="14"/>
  <c r="W9" i="14"/>
  <c r="CV30" i="8"/>
  <c r="CL30" i="8"/>
  <c r="CK30" i="8"/>
  <c r="CV26" i="8"/>
  <c r="CL26" i="8"/>
  <c r="CK26" i="8"/>
  <c r="M29" i="14"/>
  <c r="M28" i="14"/>
  <c r="M25" i="14"/>
  <c r="M22" i="14"/>
  <c r="M21" i="14"/>
  <c r="M20" i="14"/>
  <c r="M19" i="14"/>
  <c r="M18" i="14"/>
  <c r="M17" i="14"/>
  <c r="M16" i="14"/>
  <c r="M13" i="14"/>
  <c r="M12" i="14"/>
  <c r="M11" i="14"/>
  <c r="M10" i="14"/>
  <c r="M9" i="14"/>
  <c r="N29" i="14"/>
  <c r="N28" i="14"/>
  <c r="N25" i="14"/>
  <c r="N22" i="14"/>
  <c r="N21" i="14"/>
  <c r="N20" i="14"/>
  <c r="N19" i="14"/>
  <c r="N18" i="14"/>
  <c r="N17" i="14"/>
  <c r="N16" i="14"/>
  <c r="N10" i="14"/>
  <c r="N11" i="14"/>
  <c r="N12" i="14"/>
  <c r="N13" i="14"/>
  <c r="N9" i="14"/>
  <c r="P29" i="14"/>
  <c r="P28" i="14"/>
  <c r="P25" i="14"/>
  <c r="P22" i="14"/>
  <c r="P21" i="14"/>
  <c r="P20" i="14"/>
  <c r="P19" i="14"/>
  <c r="P18" i="14"/>
  <c r="P17" i="14"/>
  <c r="P16" i="14"/>
  <c r="P12" i="14"/>
  <c r="P11" i="14"/>
  <c r="P10" i="14"/>
  <c r="P9" i="14"/>
  <c r="O29" i="14"/>
  <c r="O28" i="14"/>
  <c r="O25" i="14"/>
  <c r="O22" i="14"/>
  <c r="O21" i="14"/>
  <c r="O20" i="14"/>
  <c r="O19" i="14"/>
  <c r="O18" i="14"/>
  <c r="O17" i="14"/>
  <c r="O16" i="14"/>
  <c r="O13" i="14"/>
  <c r="O12" i="14"/>
  <c r="O11" i="14"/>
  <c r="O10" i="14"/>
  <c r="O9" i="14"/>
  <c r="O30" i="8"/>
  <c r="O26" i="8"/>
  <c r="AZ9" i="8"/>
  <c r="BB17" i="8"/>
  <c r="BA17" i="8"/>
  <c r="AZ17" i="8"/>
  <c r="AY17" i="8"/>
  <c r="BB16" i="8"/>
  <c r="BA16" i="8"/>
  <c r="AZ16" i="8"/>
  <c r="AY16" i="8"/>
  <c r="BB12" i="8"/>
  <c r="BA12" i="8"/>
  <c r="AZ12" i="8"/>
  <c r="AY12" i="8"/>
  <c r="BB11" i="8"/>
  <c r="BA11" i="8"/>
  <c r="AZ11" i="8"/>
  <c r="AY11" i="8"/>
  <c r="BB9" i="8"/>
  <c r="BA9" i="8"/>
  <c r="AY9" i="8"/>
  <c r="C5" i="11"/>
  <c r="C5" i="12"/>
  <c r="C7" i="11"/>
  <c r="AS29" i="11"/>
  <c r="AS28" i="11"/>
  <c r="AS25" i="11"/>
  <c r="AS22" i="11"/>
  <c r="AS21" i="11"/>
  <c r="AS20" i="11"/>
  <c r="AS19" i="11"/>
  <c r="AS18" i="11"/>
  <c r="AS17" i="11"/>
  <c r="AS16" i="11"/>
  <c r="AS13" i="11"/>
  <c r="AS12" i="11"/>
  <c r="AS11" i="11"/>
  <c r="AS10" i="11"/>
  <c r="AS9" i="11"/>
  <c r="AS38" i="11"/>
  <c r="AS37" i="11"/>
  <c r="A29" i="14"/>
  <c r="A28" i="14"/>
  <c r="A25" i="14"/>
  <c r="A22" i="14"/>
  <c r="A21" i="14"/>
  <c r="A20" i="14"/>
  <c r="A19" i="14"/>
  <c r="A18" i="14"/>
  <c r="A17" i="14"/>
  <c r="A16" i="14"/>
  <c r="A13" i="14"/>
  <c r="A12" i="14"/>
  <c r="A11" i="14"/>
  <c r="A10" i="14"/>
  <c r="A9" i="14"/>
  <c r="C31" i="12"/>
  <c r="C30" i="12"/>
  <c r="C29" i="12"/>
  <c r="C28" i="12"/>
  <c r="C27" i="12"/>
  <c r="C26" i="12"/>
  <c r="C25" i="12"/>
  <c r="C24" i="12"/>
  <c r="C23" i="12"/>
  <c r="C22" i="12"/>
  <c r="C21" i="12"/>
  <c r="C20" i="12"/>
  <c r="C19" i="12"/>
  <c r="C18" i="12"/>
  <c r="C17" i="12"/>
  <c r="C16" i="12"/>
  <c r="C15" i="12"/>
  <c r="C14" i="12"/>
  <c r="C13" i="12"/>
  <c r="C12" i="12"/>
  <c r="C11" i="12"/>
  <c r="C10" i="12"/>
  <c r="C9" i="12"/>
  <c r="C8" i="12"/>
  <c r="G13" i="14"/>
  <c r="G12" i="14"/>
  <c r="G11" i="14"/>
  <c r="G10" i="14"/>
  <c r="G9" i="14"/>
  <c r="G29" i="14"/>
  <c r="G28" i="14"/>
  <c r="B30" i="14"/>
  <c r="G25" i="14"/>
  <c r="B26" i="14"/>
  <c r="G22" i="14"/>
  <c r="G21" i="14"/>
  <c r="G20" i="14"/>
  <c r="G19" i="14"/>
  <c r="G18" i="14"/>
  <c r="G17" i="14"/>
  <c r="G16" i="14"/>
  <c r="B23" i="14"/>
  <c r="B14" i="14"/>
  <c r="D9" i="14"/>
  <c r="D10" i="14"/>
  <c r="D11" i="14"/>
  <c r="D12" i="14"/>
  <c r="D13" i="14"/>
  <c r="D16" i="14"/>
  <c r="D17" i="14"/>
  <c r="D18" i="14"/>
  <c r="D19" i="14"/>
  <c r="D20" i="14"/>
  <c r="D21" i="14"/>
  <c r="D22" i="14"/>
  <c r="D25" i="14"/>
  <c r="D28" i="14"/>
  <c r="D29" i="14"/>
  <c r="F28" i="14"/>
  <c r="F29" i="14"/>
  <c r="E28" i="14"/>
  <c r="E29" i="14"/>
  <c r="H28" i="14"/>
  <c r="H29" i="14"/>
  <c r="F25" i="14"/>
  <c r="E25" i="14"/>
  <c r="H25" i="14"/>
  <c r="F16" i="14"/>
  <c r="F17" i="14"/>
  <c r="F18" i="14"/>
  <c r="F19" i="14"/>
  <c r="F20" i="14"/>
  <c r="F21" i="14"/>
  <c r="F22" i="14"/>
  <c r="E16" i="14"/>
  <c r="E17" i="14"/>
  <c r="E18" i="14"/>
  <c r="E19" i="14"/>
  <c r="E20" i="14"/>
  <c r="E21" i="14"/>
  <c r="E22" i="14"/>
  <c r="H16" i="14"/>
  <c r="H17" i="14"/>
  <c r="H18" i="14"/>
  <c r="H19" i="14"/>
  <c r="H20" i="14"/>
  <c r="H21" i="14"/>
  <c r="H22" i="14"/>
  <c r="F9" i="14"/>
  <c r="F10" i="14"/>
  <c r="F11" i="14"/>
  <c r="F12" i="14"/>
  <c r="F13" i="14"/>
  <c r="E9" i="14"/>
  <c r="E10" i="14"/>
  <c r="E11" i="14"/>
  <c r="E12" i="14"/>
  <c r="E13" i="14"/>
  <c r="H11" i="14"/>
  <c r="H9" i="14"/>
  <c r="H10" i="14"/>
  <c r="H12" i="14"/>
  <c r="H13" i="14"/>
  <c r="B29" i="14"/>
  <c r="B28" i="14"/>
  <c r="A27" i="14"/>
  <c r="B25" i="14"/>
  <c r="A24" i="14"/>
  <c r="B22" i="14"/>
  <c r="B21" i="14"/>
  <c r="B20" i="14"/>
  <c r="B19" i="14"/>
  <c r="B18" i="14"/>
  <c r="B17" i="14"/>
  <c r="B16" i="14"/>
  <c r="A15" i="14"/>
  <c r="B13" i="14"/>
  <c r="B12" i="14"/>
  <c r="B11" i="14"/>
  <c r="B10" i="14"/>
  <c r="B9" i="14"/>
  <c r="Q28" i="14"/>
  <c r="Q29" i="14"/>
  <c r="Q25" i="14"/>
  <c r="Q17" i="14"/>
  <c r="Q18" i="14"/>
  <c r="Q19" i="14"/>
  <c r="Q21" i="14"/>
  <c r="Q22"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3" i="13"/>
  <c r="J23" i="13"/>
  <c r="K23" i="13"/>
  <c r="L23" i="13"/>
  <c r="M23" i="13"/>
  <c r="N23" i="13"/>
  <c r="P23" i="13"/>
  <c r="Q23" i="13"/>
  <c r="R23" i="13"/>
  <c r="S23" i="13"/>
  <c r="T23" i="13"/>
  <c r="U23" i="13"/>
  <c r="V23" i="13"/>
  <c r="W23" i="13"/>
  <c r="X23" i="13"/>
  <c r="Y23" i="13"/>
  <c r="Z23" i="13"/>
  <c r="AA23" i="13"/>
  <c r="AB23" i="13"/>
  <c r="AC23" i="13"/>
  <c r="AD23" i="13"/>
  <c r="AE23" i="13"/>
  <c r="AF23" i="13"/>
  <c r="AG23" i="13"/>
  <c r="AH23" i="13"/>
  <c r="AI23" i="13"/>
  <c r="AJ23" i="13"/>
  <c r="AK23" i="13"/>
  <c r="AL23" i="13"/>
  <c r="AM23" i="13"/>
  <c r="AN23" i="13"/>
  <c r="AO23" i="13"/>
  <c r="AO31" i="13" s="1"/>
  <c r="AP23" i="13"/>
  <c r="AQ23" i="13"/>
  <c r="AR23" i="13"/>
  <c r="BH23" i="13"/>
  <c r="BI23" i="13"/>
  <c r="BK23" i="13"/>
  <c r="BM23" i="13"/>
  <c r="AY26" i="13"/>
  <c r="I26" i="13"/>
  <c r="J26" i="13"/>
  <c r="K26" i="13"/>
  <c r="L26" i="13"/>
  <c r="M26" i="13"/>
  <c r="N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M31" i="13" s="1"/>
  <c r="AN26" i="13"/>
  <c r="AO26" i="13"/>
  <c r="AP26" i="13"/>
  <c r="AQ26" i="13"/>
  <c r="AR26" i="13"/>
  <c r="BH26" i="13"/>
  <c r="BI26" i="13"/>
  <c r="BK26" i="13"/>
  <c r="BM26" i="13"/>
  <c r="I30" i="13"/>
  <c r="J30" i="13"/>
  <c r="K30" i="13"/>
  <c r="L30" i="13"/>
  <c r="M30" i="13"/>
  <c r="N30" i="13"/>
  <c r="P30" i="13"/>
  <c r="Q30" i="13"/>
  <c r="R30" i="13"/>
  <c r="S30" i="13"/>
  <c r="T30" i="13"/>
  <c r="U30" i="13"/>
  <c r="V30" i="13"/>
  <c r="W30" i="13"/>
  <c r="X30" i="13"/>
  <c r="Y30" i="13"/>
  <c r="Z30" i="13"/>
  <c r="Z31" i="13" s="1"/>
  <c r="AA30" i="13"/>
  <c r="AB30" i="13"/>
  <c r="AC30" i="13"/>
  <c r="AD30" i="13"/>
  <c r="AE30" i="13"/>
  <c r="AF30" i="13"/>
  <c r="AG30" i="13"/>
  <c r="AH30" i="13"/>
  <c r="AI30" i="13"/>
  <c r="AJ30" i="13"/>
  <c r="AK30" i="13"/>
  <c r="AL30" i="13"/>
  <c r="AM30" i="13"/>
  <c r="AN30" i="13"/>
  <c r="AN31" i="13" s="1"/>
  <c r="AO30" i="13"/>
  <c r="AP30" i="13"/>
  <c r="AQ30" i="13"/>
  <c r="AR30" i="13"/>
  <c r="BH30" i="13"/>
  <c r="BI30" i="13"/>
  <c r="BK30" i="13"/>
  <c r="BM30" i="13"/>
  <c r="AB31" i="13"/>
  <c r="B2" i="8"/>
  <c r="A3" i="8"/>
  <c r="B3" i="8"/>
  <c r="A4" i="8"/>
  <c r="B4" i="8"/>
  <c r="A5" i="8"/>
  <c r="BC9" i="8"/>
  <c r="AY10" i="8"/>
  <c r="AZ10" i="8"/>
  <c r="BA10" i="8"/>
  <c r="BB10" i="8"/>
  <c r="BC10" i="8"/>
  <c r="BC11" i="8"/>
  <c r="BC12" i="8"/>
  <c r="AY13" i="8"/>
  <c r="AZ13" i="8"/>
  <c r="BA13" i="8"/>
  <c r="BB13" i="8"/>
  <c r="BC13" i="8"/>
  <c r="BC16" i="8"/>
  <c r="BC17" i="8"/>
  <c r="AY18" i="8"/>
  <c r="AZ18" i="8"/>
  <c r="BA18" i="8"/>
  <c r="BB18" i="8"/>
  <c r="BC18" i="8"/>
  <c r="AY19" i="8"/>
  <c r="AZ19" i="8"/>
  <c r="BA19" i="8"/>
  <c r="BB19" i="8"/>
  <c r="BC19" i="8"/>
  <c r="AY20" i="8"/>
  <c r="AZ20" i="8"/>
  <c r="BA20" i="8"/>
  <c r="BB20" i="8"/>
  <c r="BC20" i="8"/>
  <c r="AY21" i="8"/>
  <c r="AZ21" i="8"/>
  <c r="BA21" i="8"/>
  <c r="BB21" i="8"/>
  <c r="BC21" i="8"/>
  <c r="BF21" i="8" s="1"/>
  <c r="AY22" i="8"/>
  <c r="AZ22" i="8"/>
  <c r="BA22" i="8"/>
  <c r="BB22" i="8"/>
  <c r="BC22" i="8"/>
  <c r="AY25" i="8"/>
  <c r="AZ25" i="8"/>
  <c r="BA25" i="8"/>
  <c r="BB25" i="8"/>
  <c r="BC25" i="8"/>
  <c r="I26" i="8"/>
  <c r="J26" i="8"/>
  <c r="K26" i="8"/>
  <c r="L26" i="8"/>
  <c r="M26" i="8"/>
  <c r="N26" i="8"/>
  <c r="P26" i="8"/>
  <c r="Q26" i="8"/>
  <c r="R26" i="8"/>
  <c r="S26" i="8"/>
  <c r="T26" i="8"/>
  <c r="U26" i="8"/>
  <c r="V26" i="8"/>
  <c r="W26" i="8"/>
  <c r="X26" i="8"/>
  <c r="Y26" i="8"/>
  <c r="Z26" i="8"/>
  <c r="AA26" i="8"/>
  <c r="AB26" i="8"/>
  <c r="AC26" i="8"/>
  <c r="AD26" i="8"/>
  <c r="AE26" i="8"/>
  <c r="AF26" i="8"/>
  <c r="AG26" i="8"/>
  <c r="Q26" i="12" s="1"/>
  <c r="AH26" i="8"/>
  <c r="AI26" i="8"/>
  <c r="AJ26" i="8"/>
  <c r="T26" i="12" s="1"/>
  <c r="AK26" i="8"/>
  <c r="AL26" i="8"/>
  <c r="AM26" i="8"/>
  <c r="AN26" i="8"/>
  <c r="AO26" i="8"/>
  <c r="B26" i="3" s="1"/>
  <c r="AP26" i="8"/>
  <c r="B26" i="2" s="1"/>
  <c r="AQ26" i="8"/>
  <c r="AR26" i="8"/>
  <c r="BH26" i="8"/>
  <c r="BI26" i="8"/>
  <c r="BK26" i="8"/>
  <c r="CI26" i="8"/>
  <c r="CJ26" i="8"/>
  <c r="AY28" i="8"/>
  <c r="AZ28" i="8"/>
  <c r="BA28" i="8"/>
  <c r="BB28" i="8"/>
  <c r="BC28" i="8"/>
  <c r="BF28" i="8" s="1"/>
  <c r="AY29" i="8"/>
  <c r="AZ29" i="8"/>
  <c r="BA29" i="8"/>
  <c r="BB29" i="8"/>
  <c r="BC29" i="8"/>
  <c r="I30" i="8"/>
  <c r="J30" i="8"/>
  <c r="K30" i="8"/>
  <c r="L30" i="8"/>
  <c r="M30" i="8"/>
  <c r="N30" i="8"/>
  <c r="P30" i="8"/>
  <c r="Q30" i="8"/>
  <c r="R30" i="8"/>
  <c r="S30" i="8"/>
  <c r="T30" i="8"/>
  <c r="U30" i="8"/>
  <c r="V30" i="8"/>
  <c r="W30" i="8"/>
  <c r="X30" i="8"/>
  <c r="Y30" i="8"/>
  <c r="Z30" i="8"/>
  <c r="AA30" i="8"/>
  <c r="AB30" i="8"/>
  <c r="AC30" i="8"/>
  <c r="AD30" i="8"/>
  <c r="AE30" i="8"/>
  <c r="AF30" i="8"/>
  <c r="AG30" i="8"/>
  <c r="Q30" i="12" s="1"/>
  <c r="AH30" i="8"/>
  <c r="R30" i="12" s="1"/>
  <c r="AI30" i="8"/>
  <c r="S30" i="12" s="1"/>
  <c r="AJ30" i="8"/>
  <c r="T30" i="12" s="1"/>
  <c r="AK30" i="8"/>
  <c r="AL30" i="8"/>
  <c r="AM30" i="8"/>
  <c r="AN30" i="8"/>
  <c r="AO30" i="8"/>
  <c r="B30" i="3" s="1"/>
  <c r="AP30" i="8"/>
  <c r="B30" i="2" s="1"/>
  <c r="AQ30" i="8"/>
  <c r="AR30" i="8"/>
  <c r="C30" i="3" s="1"/>
  <c r="BH30" i="8"/>
  <c r="BI30" i="8"/>
  <c r="BK30" i="8"/>
  <c r="CI30" i="8"/>
  <c r="CJ30" i="8"/>
  <c r="B7" i="14"/>
  <c r="A8" i="14"/>
  <c r="I9" i="14"/>
  <c r="J9" i="14"/>
  <c r="J10" i="14"/>
  <c r="J11" i="14"/>
  <c r="J12" i="14"/>
  <c r="J13" i="14"/>
  <c r="I10" i="14"/>
  <c r="I11" i="14"/>
  <c r="I12" i="14"/>
  <c r="I16" i="14"/>
  <c r="J16" i="14"/>
  <c r="I17" i="14"/>
  <c r="J17" i="14"/>
  <c r="I18" i="14"/>
  <c r="I19" i="14"/>
  <c r="J19" i="14"/>
  <c r="I20" i="14"/>
  <c r="J20" i="14"/>
  <c r="I21" i="14"/>
  <c r="J21" i="14"/>
  <c r="I22" i="14"/>
  <c r="J22" i="14"/>
  <c r="I25" i="14"/>
  <c r="J25" i="14"/>
  <c r="I28" i="14"/>
  <c r="J28" i="14"/>
  <c r="I29" i="14"/>
  <c r="J29" i="14"/>
  <c r="B31" i="14"/>
  <c r="B3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F11" i="12" s="1"/>
  <c r="T11" i="12"/>
  <c r="H12" i="12"/>
  <c r="M12" i="12"/>
  <c r="G12" i="11"/>
  <c r="Q12" i="12"/>
  <c r="N12" i="12"/>
  <c r="R12" i="12"/>
  <c r="O12" i="12"/>
  <c r="P12" i="12"/>
  <c r="S12" i="12"/>
  <c r="T12" i="12"/>
  <c r="D13" i="12"/>
  <c r="E13" i="12"/>
  <c r="F13" i="12"/>
  <c r="G13" i="12"/>
  <c r="H13" i="12"/>
  <c r="Q14" i="12"/>
  <c r="D16" i="12"/>
  <c r="E16" i="12"/>
  <c r="F16" i="12"/>
  <c r="G16" i="12"/>
  <c r="H16" i="12"/>
  <c r="D17" i="12"/>
  <c r="E17" i="12"/>
  <c r="F17" i="12"/>
  <c r="G17" i="12"/>
  <c r="H17" i="12"/>
  <c r="D18" i="12"/>
  <c r="E18" i="12"/>
  <c r="F18" i="12"/>
  <c r="G18" i="12"/>
  <c r="H18" i="12"/>
  <c r="D19" i="12"/>
  <c r="E19" i="12"/>
  <c r="F19" i="12"/>
  <c r="G19" i="12"/>
  <c r="H19" i="12"/>
  <c r="D20" i="12"/>
  <c r="E20" i="12"/>
  <c r="F20" i="12"/>
  <c r="G20" i="12"/>
  <c r="H20" i="12"/>
  <c r="D21" i="12"/>
  <c r="E21" i="12"/>
  <c r="F21" i="12"/>
  <c r="G21" i="12"/>
  <c r="H21" i="12"/>
  <c r="D22" i="12"/>
  <c r="E22" i="12"/>
  <c r="F22" i="12"/>
  <c r="G22" i="12"/>
  <c r="H22" i="12"/>
  <c r="D25" i="12"/>
  <c r="E25" i="12"/>
  <c r="F25" i="12"/>
  <c r="G25" i="12"/>
  <c r="H25" i="12"/>
  <c r="M26" i="12"/>
  <c r="N26" i="12"/>
  <c r="O26" i="12"/>
  <c r="P26" i="12"/>
  <c r="D28" i="12"/>
  <c r="E28" i="12"/>
  <c r="F28" i="12"/>
  <c r="G28" i="12"/>
  <c r="H28" i="12"/>
  <c r="M28" i="12"/>
  <c r="N28" i="12"/>
  <c r="O28" i="12"/>
  <c r="P28" i="12"/>
  <c r="Q28" i="12"/>
  <c r="R28" i="12"/>
  <c r="S28" i="12"/>
  <c r="T28" i="12"/>
  <c r="D29" i="12"/>
  <c r="E29" i="12"/>
  <c r="F29" i="12"/>
  <c r="G29" i="12"/>
  <c r="H29" i="12"/>
  <c r="M29" i="12"/>
  <c r="N29" i="12"/>
  <c r="O29" i="12"/>
  <c r="P29" i="12"/>
  <c r="Q29" i="12"/>
  <c r="R29" i="12"/>
  <c r="S29" i="12"/>
  <c r="T29" i="12"/>
  <c r="M30" i="12"/>
  <c r="N30" i="12"/>
  <c r="O30" i="12"/>
  <c r="P30" i="12"/>
  <c r="D37" i="12"/>
  <c r="E37" i="12"/>
  <c r="F37" i="12"/>
  <c r="G37" i="12"/>
  <c r="H37" i="12"/>
  <c r="I37" i="12"/>
  <c r="J37" i="12"/>
  <c r="K37" i="12"/>
  <c r="D38" i="12"/>
  <c r="E38" i="12"/>
  <c r="F38" i="12"/>
  <c r="G38" i="12"/>
  <c r="H38" i="12"/>
  <c r="I38" i="12"/>
  <c r="J38" i="12"/>
  <c r="K38" i="12"/>
  <c r="C42" i="12"/>
  <c r="C8" i="11"/>
  <c r="A9" i="11"/>
  <c r="C9" i="11"/>
  <c r="G9" i="11"/>
  <c r="AG9" i="11"/>
  <c r="AI9" i="11"/>
  <c r="AE9" i="11"/>
  <c r="AJ9" i="11"/>
  <c r="AK9" i="11"/>
  <c r="A10" i="11"/>
  <c r="C10" i="11"/>
  <c r="G10" i="11"/>
  <c r="AG10" i="11"/>
  <c r="AI10" i="11"/>
  <c r="AE10" i="11"/>
  <c r="AJ10" i="11"/>
  <c r="AK10" i="11"/>
  <c r="A11" i="11"/>
  <c r="C11" i="11"/>
  <c r="G11" i="11"/>
  <c r="D11" i="12" s="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A20" i="11"/>
  <c r="C20" i="11"/>
  <c r="G20" i="11"/>
  <c r="AG20" i="11"/>
  <c r="AE20" i="11"/>
  <c r="AJ20" i="11"/>
  <c r="AK20" i="11"/>
  <c r="A21" i="11"/>
  <c r="C21" i="11"/>
  <c r="G21" i="11"/>
  <c r="AG21" i="11"/>
  <c r="AI21" i="11"/>
  <c r="AE21" i="11"/>
  <c r="AE22" i="11"/>
  <c r="AJ21" i="11"/>
  <c r="AJ22" i="11"/>
  <c r="AK21" i="11"/>
  <c r="A22" i="11"/>
  <c r="C22" i="11"/>
  <c r="G22" i="11"/>
  <c r="AG22" i="11"/>
  <c r="AK22" i="11"/>
  <c r="C23" i="11"/>
  <c r="C24" i="11"/>
  <c r="A25" i="11"/>
  <c r="C25" i="11"/>
  <c r="G25" i="11"/>
  <c r="AG25" i="11"/>
  <c r="AI25" i="11"/>
  <c r="AE25" i="11"/>
  <c r="AJ25" i="11"/>
  <c r="AK25" i="11"/>
  <c r="AI26" i="11"/>
  <c r="C26" i="11"/>
  <c r="C27" i="11"/>
  <c r="A28" i="11"/>
  <c r="C28" i="11"/>
  <c r="G28" i="11"/>
  <c r="AG28" i="11"/>
  <c r="AG29" i="11"/>
  <c r="AI28" i="11"/>
  <c r="AI29" i="11"/>
  <c r="AE28" i="11"/>
  <c r="AJ28" i="11"/>
  <c r="AK28" i="11"/>
  <c r="A29" i="11"/>
  <c r="C29" i="11"/>
  <c r="G29" i="11"/>
  <c r="AE29" i="11"/>
  <c r="AJ29" i="11"/>
  <c r="AK29" i="11"/>
  <c r="C30" i="11"/>
  <c r="C31" i="11"/>
  <c r="F37" i="11"/>
  <c r="G37" i="11"/>
  <c r="W37" i="11"/>
  <c r="AG37" i="11"/>
  <c r="AI37" i="11"/>
  <c r="AE37" i="11"/>
  <c r="AJ37" i="11"/>
  <c r="AK37" i="11"/>
  <c r="AL37" i="11"/>
  <c r="AM37" i="11"/>
  <c r="AN37" i="11"/>
  <c r="AO37" i="11"/>
  <c r="AP37" i="11"/>
  <c r="AQ37" i="11"/>
  <c r="F38" i="11"/>
  <c r="G38" i="11"/>
  <c r="W38" i="11"/>
  <c r="AG38" i="11"/>
  <c r="AI38" i="11"/>
  <c r="AE38" i="11"/>
  <c r="AJ38" i="11"/>
  <c r="AK38" i="11"/>
  <c r="AL38" i="11"/>
  <c r="AM38" i="11"/>
  <c r="AN38" i="11"/>
  <c r="AO38" i="11"/>
  <c r="AP38" i="11"/>
  <c r="AQ38" i="11"/>
  <c r="C4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B20" i="7"/>
  <c r="C20" i="7"/>
  <c r="D20" i="7"/>
  <c r="E20" i="7"/>
  <c r="F20" i="7"/>
  <c r="G20" i="7"/>
  <c r="A21" i="7"/>
  <c r="B21" i="7"/>
  <c r="C21" i="7"/>
  <c r="D21" i="7"/>
  <c r="E21" i="7"/>
  <c r="F21" i="7"/>
  <c r="G21" i="7"/>
  <c r="A22" i="7"/>
  <c r="B22" i="7"/>
  <c r="C22" i="7"/>
  <c r="D22" i="7"/>
  <c r="E22" i="7"/>
  <c r="F22" i="7"/>
  <c r="G22" i="7"/>
  <c r="A23" i="7"/>
  <c r="A24" i="7"/>
  <c r="A25" i="7"/>
  <c r="B25" i="7"/>
  <c r="C25" i="7"/>
  <c r="D25" i="7"/>
  <c r="E25" i="7"/>
  <c r="F25" i="7"/>
  <c r="G25" i="7"/>
  <c r="A26" i="7"/>
  <c r="A27" i="7"/>
  <c r="A28" i="7"/>
  <c r="B28" i="7"/>
  <c r="C28" i="7"/>
  <c r="D28" i="7"/>
  <c r="E28" i="7"/>
  <c r="F28" i="7"/>
  <c r="G28" i="7"/>
  <c r="A29" i="7"/>
  <c r="B29" i="7"/>
  <c r="C29" i="7"/>
  <c r="D29" i="7"/>
  <c r="E29" i="7"/>
  <c r="F29" i="7"/>
  <c r="G29" i="7"/>
  <c r="A30" i="7"/>
  <c r="A31" i="7"/>
  <c r="A35" i="7"/>
  <c r="B2" i="6"/>
  <c r="B3" i="6"/>
  <c r="B4" i="6"/>
  <c r="A7" i="6"/>
  <c r="A8" i="6"/>
  <c r="A9" i="6"/>
  <c r="A10" i="6"/>
  <c r="A11" i="6"/>
  <c r="A12" i="6"/>
  <c r="A13" i="6"/>
  <c r="A14" i="6"/>
  <c r="A15" i="6"/>
  <c r="A16" i="6"/>
  <c r="A17" i="6"/>
  <c r="A18" i="6"/>
  <c r="A19" i="6"/>
  <c r="A20" i="6"/>
  <c r="A21" i="6"/>
  <c r="A22" i="6"/>
  <c r="A23" i="6"/>
  <c r="A24" i="6"/>
  <c r="A25" i="6"/>
  <c r="A26" i="6"/>
  <c r="A27" i="6"/>
  <c r="A28" i="6"/>
  <c r="A29" i="6"/>
  <c r="A30" i="6"/>
  <c r="A31" i="6"/>
  <c r="A3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B20" i="5"/>
  <c r="B21" i="5"/>
  <c r="B22" i="5"/>
  <c r="C16" i="5"/>
  <c r="D16" i="5"/>
  <c r="A17" i="5"/>
  <c r="C17" i="5"/>
  <c r="C18" i="5"/>
  <c r="C19" i="5"/>
  <c r="C20" i="5"/>
  <c r="C21" i="5"/>
  <c r="C22" i="5"/>
  <c r="D17" i="5"/>
  <c r="A18" i="5"/>
  <c r="D18" i="5"/>
  <c r="A19" i="5"/>
  <c r="D19" i="5"/>
  <c r="A20" i="5"/>
  <c r="D20" i="5"/>
  <c r="A21" i="5"/>
  <c r="C25" i="5"/>
  <c r="C28" i="5"/>
  <c r="C29" i="5"/>
  <c r="D21" i="5"/>
  <c r="A22" i="5"/>
  <c r="D22" i="5"/>
  <c r="A23" i="5"/>
  <c r="A24" i="5"/>
  <c r="A25" i="5"/>
  <c r="B25" i="5"/>
  <c r="D25" i="5"/>
  <c r="A26" i="5"/>
  <c r="A27" i="5"/>
  <c r="A28" i="5"/>
  <c r="B28" i="5"/>
  <c r="D28" i="5"/>
  <c r="A29" i="5"/>
  <c r="B29" i="5"/>
  <c r="D29" i="5"/>
  <c r="A30" i="5"/>
  <c r="A31" i="5"/>
  <c r="A34" i="5"/>
  <c r="B2" i="3"/>
  <c r="B3" i="3"/>
  <c r="B4" i="3"/>
  <c r="A5" i="3"/>
  <c r="A7" i="3"/>
  <c r="A8" i="3"/>
  <c r="A9" i="3"/>
  <c r="B9" i="3"/>
  <c r="C9" i="3"/>
  <c r="D9" i="3"/>
  <c r="F9" i="3"/>
  <c r="H9" i="3"/>
  <c r="A10" i="3"/>
  <c r="C10" i="3"/>
  <c r="D10" i="3"/>
  <c r="E10" i="3" s="1"/>
  <c r="F10" i="3"/>
  <c r="G10" i="3" s="1"/>
  <c r="H10" i="3"/>
  <c r="I10" i="3" s="1"/>
  <c r="A11" i="3"/>
  <c r="C11" i="3"/>
  <c r="D11" i="3"/>
  <c r="F11" i="3"/>
  <c r="G11" i="3" s="1"/>
  <c r="H11" i="3"/>
  <c r="A12" i="3"/>
  <c r="C12" i="3"/>
  <c r="D12" i="3"/>
  <c r="F12" i="3"/>
  <c r="G12" i="3" s="1"/>
  <c r="H12" i="3"/>
  <c r="A13" i="3"/>
  <c r="C13" i="3"/>
  <c r="D13" i="3"/>
  <c r="F13" i="3"/>
  <c r="H13" i="3"/>
  <c r="A14" i="3"/>
  <c r="A15" i="3"/>
  <c r="A16" i="3"/>
  <c r="C16" i="3"/>
  <c r="D16" i="3"/>
  <c r="E16" i="3" s="1"/>
  <c r="F16" i="3"/>
  <c r="H16" i="3"/>
  <c r="A17" i="3"/>
  <c r="C17" i="3"/>
  <c r="D17" i="3"/>
  <c r="F17" i="3"/>
  <c r="H17" i="3"/>
  <c r="I17" i="3" s="1"/>
  <c r="A18" i="3"/>
  <c r="C18" i="3"/>
  <c r="D18" i="3"/>
  <c r="F18" i="3"/>
  <c r="G18" i="3" s="1"/>
  <c r="H18" i="3"/>
  <c r="I18" i="3" s="1"/>
  <c r="A19" i="3"/>
  <c r="C19" i="3"/>
  <c r="D19" i="3"/>
  <c r="F19" i="3"/>
  <c r="H19" i="3"/>
  <c r="I19" i="3" s="1"/>
  <c r="A20" i="3"/>
  <c r="C20" i="3"/>
  <c r="D20" i="3"/>
  <c r="F20" i="3"/>
  <c r="G20" i="3" s="1"/>
  <c r="H20" i="3"/>
  <c r="A21" i="3"/>
  <c r="C21" i="3"/>
  <c r="D21" i="3"/>
  <c r="E21" i="3" s="1"/>
  <c r="F21" i="3"/>
  <c r="G21" i="3" s="1"/>
  <c r="H21" i="3"/>
  <c r="A22" i="3"/>
  <c r="C22" i="3"/>
  <c r="D22" i="3"/>
  <c r="AN22" i="11" s="1"/>
  <c r="F22" i="3"/>
  <c r="G22" i="3" s="1"/>
  <c r="H22" i="3"/>
  <c r="I22" i="3" s="1"/>
  <c r="A24" i="3"/>
  <c r="A25" i="3"/>
  <c r="C25" i="3"/>
  <c r="D25" i="3"/>
  <c r="E25" i="3" s="1"/>
  <c r="F25" i="3"/>
  <c r="G25" i="3" s="1"/>
  <c r="H25" i="3"/>
  <c r="I25" i="3" s="1"/>
  <c r="A26" i="3"/>
  <c r="A27" i="3"/>
  <c r="A28" i="3"/>
  <c r="C28" i="3"/>
  <c r="D28" i="3"/>
  <c r="F28" i="3"/>
  <c r="G28" i="3" s="1"/>
  <c r="H28" i="3"/>
  <c r="I28" i="3" s="1"/>
  <c r="A29" i="3"/>
  <c r="C29" i="3"/>
  <c r="D29" i="3"/>
  <c r="E29" i="3" s="1"/>
  <c r="F29" i="3"/>
  <c r="G29" i="3" s="1"/>
  <c r="H29" i="3"/>
  <c r="I29" i="3" s="1"/>
  <c r="A30" i="3"/>
  <c r="A31" i="3"/>
  <c r="A34" i="3"/>
  <c r="B2" i="10"/>
  <c r="B3" i="10"/>
  <c r="B4" i="10"/>
  <c r="A5" i="10"/>
  <c r="A8" i="10"/>
  <c r="A9" i="10"/>
  <c r="B9" i="10"/>
  <c r="C9" i="10"/>
  <c r="D9" i="10"/>
  <c r="E9" i="10"/>
  <c r="F9" i="10" s="1"/>
  <c r="H9" i="10"/>
  <c r="A10" i="10"/>
  <c r="B10" i="10"/>
  <c r="C10" i="10"/>
  <c r="D10" i="10"/>
  <c r="E10" i="10"/>
  <c r="H10" i="10"/>
  <c r="A11" i="10"/>
  <c r="B11" i="10"/>
  <c r="C11" i="10"/>
  <c r="D11" i="10"/>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H17" i="10"/>
  <c r="A18" i="10"/>
  <c r="B18" i="10"/>
  <c r="C18" i="10"/>
  <c r="D18" i="10"/>
  <c r="E18" i="10"/>
  <c r="F18" i="10" s="1"/>
  <c r="H18" i="10"/>
  <c r="A19" i="10"/>
  <c r="B19" i="10"/>
  <c r="C19" i="10"/>
  <c r="D19" i="10"/>
  <c r="I19" i="10" s="1"/>
  <c r="K19" i="10" s="1"/>
  <c r="E19" i="10"/>
  <c r="F19" i="10" s="1"/>
  <c r="H19" i="10"/>
  <c r="A20" i="10"/>
  <c r="B20" i="10"/>
  <c r="C20" i="10"/>
  <c r="D20" i="10"/>
  <c r="I20" i="10" s="1"/>
  <c r="K20" i="10" s="1"/>
  <c r="E20" i="10"/>
  <c r="A21" i="10"/>
  <c r="D21" i="10"/>
  <c r="I21" i="10" s="1"/>
  <c r="K21" i="10" s="1"/>
  <c r="E21" i="10"/>
  <c r="F21" i="10" s="1"/>
  <c r="H21" i="10"/>
  <c r="A22" i="10"/>
  <c r="B22" i="10"/>
  <c r="C22" i="10"/>
  <c r="D22" i="10"/>
  <c r="I22" i="10" s="1"/>
  <c r="K22" i="10" s="1"/>
  <c r="E22" i="10"/>
  <c r="F22" i="10" s="1"/>
  <c r="H22" i="10"/>
  <c r="A24" i="10"/>
  <c r="A25" i="10"/>
  <c r="B25" i="10"/>
  <c r="C25" i="10"/>
  <c r="D25" i="10"/>
  <c r="I25" i="10" s="1"/>
  <c r="K25" i="10" s="1"/>
  <c r="E25" i="10"/>
  <c r="F25" i="10" s="1"/>
  <c r="H25" i="10"/>
  <c r="A27" i="10"/>
  <c r="A28" i="10"/>
  <c r="D28" i="10"/>
  <c r="I28" i="10" s="1"/>
  <c r="K28" i="10" s="1"/>
  <c r="E28" i="10"/>
  <c r="F28" i="10" s="1"/>
  <c r="H28" i="10"/>
  <c r="A29" i="10"/>
  <c r="B29" i="10"/>
  <c r="C29" i="10"/>
  <c r="D29" i="10"/>
  <c r="I29" i="10" s="1"/>
  <c r="K29" i="10" s="1"/>
  <c r="E29" i="10"/>
  <c r="F29" i="10" s="1"/>
  <c r="H29" i="10"/>
  <c r="A35" i="10"/>
  <c r="B2" i="2"/>
  <c r="B3" i="2"/>
  <c r="B4" i="2"/>
  <c r="A8" i="2"/>
  <c r="A9" i="2"/>
  <c r="B9" i="2"/>
  <c r="H9" i="2" s="1"/>
  <c r="A10" i="2"/>
  <c r="B10" i="2"/>
  <c r="A11" i="2"/>
  <c r="B11" i="2"/>
  <c r="H11" i="2" s="1"/>
  <c r="A12" i="2"/>
  <c r="B12" i="2"/>
  <c r="A13" i="2"/>
  <c r="B13" i="2"/>
  <c r="A14" i="2"/>
  <c r="B14" i="2"/>
  <c r="A15" i="2"/>
  <c r="A16" i="2"/>
  <c r="B16" i="2"/>
  <c r="A17" i="2"/>
  <c r="B17" i="2"/>
  <c r="A18" i="2"/>
  <c r="B18" i="2"/>
  <c r="A19" i="2"/>
  <c r="B19" i="2"/>
  <c r="J19" i="2" s="1"/>
  <c r="A20" i="2"/>
  <c r="B20" i="2"/>
  <c r="A21" i="2"/>
  <c r="A22" i="2"/>
  <c r="B22" i="2"/>
  <c r="A23" i="2"/>
  <c r="A24" i="2"/>
  <c r="A25" i="2"/>
  <c r="B25" i="2"/>
  <c r="C25" i="2"/>
  <c r="E25" i="2"/>
  <c r="G25" i="2"/>
  <c r="I25" i="2"/>
  <c r="A26" i="2"/>
  <c r="A27" i="2"/>
  <c r="A28" i="2"/>
  <c r="C28" i="2"/>
  <c r="E28" i="2"/>
  <c r="F28" i="2" s="1"/>
  <c r="G28" i="2"/>
  <c r="H28" i="2" s="1"/>
  <c r="I28" i="2"/>
  <c r="A29" i="2"/>
  <c r="B29" i="2"/>
  <c r="C29" i="2"/>
  <c r="D29" i="2" s="1"/>
  <c r="E29" i="2"/>
  <c r="G29" i="2"/>
  <c r="AL29" i="11" s="1"/>
  <c r="I29" i="2"/>
  <c r="A30" i="2"/>
  <c r="A31" i="2"/>
  <c r="A32" i="2"/>
  <c r="A33" i="2"/>
  <c r="A35" i="2"/>
  <c r="O37" i="11"/>
  <c r="O38" i="11"/>
  <c r="BE29" i="8"/>
  <c r="BF19" i="8"/>
  <c r="S14" i="12"/>
  <c r="BG19" i="8"/>
  <c r="C26" i="3"/>
  <c r="AL31" i="8"/>
  <c r="R26" i="12"/>
  <c r="BD22" i="8"/>
  <c r="H22" i="7" s="1"/>
  <c r="H13" i="10"/>
  <c r="P13" i="14"/>
  <c r="S26" i="12"/>
  <c r="BG29" i="8"/>
  <c r="BD28" i="8"/>
  <c r="BF17" i="8"/>
  <c r="H23" i="12"/>
  <c r="D26" i="7"/>
  <c r="E26" i="12"/>
  <c r="B23" i="7"/>
  <c r="BE28" i="13"/>
  <c r="BD9" i="13"/>
  <c r="BG21" i="13"/>
  <c r="BD28" i="13"/>
  <c r="AN23" i="17"/>
  <c r="AR23" i="11"/>
  <c r="B23" i="2"/>
  <c r="BG11" i="13"/>
  <c r="BF13" i="13"/>
  <c r="BE10" i="8"/>
  <c r="BE16" i="8"/>
  <c r="AS14" i="8"/>
  <c r="I13" i="14"/>
  <c r="AD26" i="20"/>
  <c r="AA30" i="20"/>
  <c r="AY30" i="19"/>
  <c r="BC30" i="19"/>
  <c r="AZ30" i="19"/>
  <c r="AZ14" i="19"/>
  <c r="AY26" i="19"/>
  <c r="BC26" i="19"/>
  <c r="BB14" i="19"/>
  <c r="BA23" i="19"/>
  <c r="BD23" i="19" s="1"/>
  <c r="BB30" i="19"/>
  <c r="AY14" i="19"/>
  <c r="BC14" i="19"/>
  <c r="AY23" i="19"/>
  <c r="BC23" i="19"/>
  <c r="U31" i="19"/>
  <c r="Y31" i="19"/>
  <c r="AO31" i="19"/>
  <c r="BA26" i="19"/>
  <c r="BD26" i="19" s="1"/>
  <c r="N31" i="19"/>
  <c r="V31" i="19"/>
  <c r="Z31" i="19"/>
  <c r="AD31" i="19"/>
  <c r="AT31" i="19"/>
  <c r="CJ31" i="19"/>
  <c r="T31" i="19"/>
  <c r="BA30" i="19"/>
  <c r="I31" i="19"/>
  <c r="BA14" i="19"/>
  <c r="CK31" i="19"/>
  <c r="BB23" i="19"/>
  <c r="BB26" i="19"/>
  <c r="AS23" i="21"/>
  <c r="R23" i="21"/>
  <c r="AI23" i="21"/>
  <c r="AI26" i="21"/>
  <c r="AI30" i="21"/>
  <c r="AN30" i="21"/>
  <c r="T26" i="21"/>
  <c r="G30" i="21"/>
  <c r="P26" i="21"/>
  <c r="AD30" i="21"/>
  <c r="AH23" i="21"/>
  <c r="J23" i="21"/>
  <c r="AG23" i="21"/>
  <c r="AG26" i="21"/>
  <c r="AG30" i="21"/>
  <c r="N23" i="21"/>
  <c r="AN23" i="21"/>
  <c r="AE30" i="21"/>
  <c r="U26" i="21"/>
  <c r="L23" i="21"/>
  <c r="L26" i="21" s="1"/>
  <c r="Q23" i="21"/>
  <c r="AJ26" i="21"/>
  <c r="AF26" i="21"/>
  <c r="AB30" i="21"/>
  <c r="AJ30" i="21"/>
  <c r="AL30" i="21"/>
  <c r="AX23" i="21"/>
  <c r="AX26" i="21" s="1"/>
  <c r="AX30" i="21" s="1"/>
  <c r="N30" i="21"/>
  <c r="V30" i="21"/>
  <c r="T30" i="21"/>
  <c r="AF30" i="21"/>
  <c r="O30" i="21"/>
  <c r="F26" i="21"/>
  <c r="AE23" i="21"/>
  <c r="AJ23" i="21"/>
  <c r="AK23" i="21"/>
  <c r="H30" i="21"/>
  <c r="AE26" i="21"/>
  <c r="H23" i="21"/>
  <c r="Z23" i="21"/>
  <c r="Z26" i="21" s="1"/>
  <c r="AL26" i="21"/>
  <c r="O26" i="21"/>
  <c r="AH30" i="21"/>
  <c r="AO30" i="21"/>
  <c r="AC26" i="21"/>
  <c r="AC30" i="21"/>
  <c r="G26" i="21"/>
  <c r="U30" i="21"/>
  <c r="AM23" i="21"/>
  <c r="M23" i="21"/>
  <c r="M26" i="21" s="1"/>
  <c r="AD23" i="21"/>
  <c r="AD26" i="21"/>
  <c r="AK26" i="21"/>
  <c r="AN26" i="21"/>
  <c r="N26" i="21"/>
  <c r="AO26" i="21"/>
  <c r="AF23" i="21"/>
  <c r="P30" i="21"/>
  <c r="I30" i="21"/>
  <c r="K23" i="21"/>
  <c r="K26" i="21" s="1"/>
  <c r="S26" i="21"/>
  <c r="I26" i="21"/>
  <c r="E23" i="21"/>
  <c r="E26" i="21" s="1"/>
  <c r="E30" i="21" s="1"/>
  <c r="AO23" i="21"/>
  <c r="AR23" i="21"/>
  <c r="G23" i="21"/>
  <c r="H26" i="21"/>
  <c r="AB26" i="21"/>
  <c r="F30" i="21"/>
  <c r="AH26" i="21"/>
  <c r="AB23" i="21"/>
  <c r="S30" i="21"/>
  <c r="P23" i="21"/>
  <c r="AL23" i="21"/>
  <c r="F23" i="21"/>
  <c r="Y26" i="20"/>
  <c r="T30" i="20"/>
  <c r="S30" i="20"/>
  <c r="AB26" i="20"/>
  <c r="AN26" i="20"/>
  <c r="G26" i="20"/>
  <c r="AB30" i="20"/>
  <c r="AA26" i="20"/>
  <c r="I30" i="20"/>
  <c r="I26" i="20"/>
  <c r="AC23" i="21"/>
  <c r="AU23" i="21" s="1"/>
  <c r="P26" i="20"/>
  <c r="J14" i="20"/>
  <c r="P30" i="20"/>
  <c r="E14" i="20"/>
  <c r="T26" i="20"/>
  <c r="Q14" i="20"/>
  <c r="G14" i="20"/>
  <c r="S14" i="20"/>
  <c r="K14" i="20"/>
  <c r="AT14" i="20"/>
  <c r="AA14" i="20"/>
  <c r="AD30" i="20"/>
  <c r="AE30" i="20"/>
  <c r="R14" i="20"/>
  <c r="F14" i="20"/>
  <c r="V23" i="21"/>
  <c r="T23" i="21"/>
  <c r="AU23" i="20"/>
  <c r="AU31" i="20" s="1"/>
  <c r="BE18" i="13"/>
  <c r="BG20" i="13"/>
  <c r="BE12" i="13"/>
  <c r="BD20" i="13"/>
  <c r="BG19" i="13"/>
  <c r="AY30" i="13"/>
  <c r="BG10" i="13"/>
  <c r="BB30" i="13"/>
  <c r="BE25" i="13"/>
  <c r="BE19" i="13"/>
  <c r="BE22" i="8"/>
  <c r="I22" i="7" s="1"/>
  <c r="BE11" i="8"/>
  <c r="BE12" i="8"/>
  <c r="BD17" i="13"/>
  <c r="F26" i="12"/>
  <c r="G26" i="7"/>
  <c r="C31" i="3"/>
  <c r="BD29" i="8"/>
  <c r="BF29" i="8"/>
  <c r="O31" i="8"/>
  <c r="BD12" i="13"/>
  <c r="BG12" i="13"/>
  <c r="BC30" i="8"/>
  <c r="U31" i="8"/>
  <c r="BE13" i="8"/>
  <c r="AV30" i="21"/>
  <c r="AR30" i="21" s="1"/>
  <c r="BM30" i="16"/>
  <c r="AZ14" i="13"/>
  <c r="BD22" i="13"/>
  <c r="BG22" i="13"/>
  <c r="AW30" i="21"/>
  <c r="AP26" i="17"/>
  <c r="BG14" i="16"/>
  <c r="D14" i="7"/>
  <c r="X31" i="8"/>
  <c r="AM31" i="8"/>
  <c r="AW23" i="21"/>
  <c r="BC30" i="13"/>
  <c r="BD29" i="13"/>
  <c r="BE29" i="13"/>
  <c r="BE22" i="13"/>
  <c r="AP14" i="17"/>
  <c r="AV23" i="21"/>
  <c r="BE21" i="13"/>
  <c r="AR14" i="21"/>
  <c r="BJ14" i="16"/>
  <c r="AT26" i="20"/>
  <c r="AI14" i="20"/>
  <c r="BF13" i="8"/>
  <c r="R14" i="12"/>
  <c r="AH31" i="8"/>
  <c r="BA26" i="13"/>
  <c r="AT30" i="20"/>
  <c r="P31" i="19"/>
  <c r="R13" i="17"/>
  <c r="BE11" i="13"/>
  <c r="BD21" i="8"/>
  <c r="H21" i="7" s="1"/>
  <c r="BG18" i="8"/>
  <c r="AZ26" i="13"/>
  <c r="BA30" i="13"/>
  <c r="BF28" i="13"/>
  <c r="BD11" i="13"/>
  <c r="BD18" i="8"/>
  <c r="BM23" i="16"/>
  <c r="AZ30" i="13"/>
  <c r="AO14" i="20"/>
  <c r="AY14" i="13"/>
  <c r="BC23" i="13"/>
  <c r="BG25" i="13"/>
  <c r="BE19" i="8"/>
  <c r="BF18" i="8"/>
  <c r="BF12" i="8"/>
  <c r="BC14" i="13"/>
  <c r="AR30" i="11"/>
  <c r="AG31" i="8"/>
  <c r="B14" i="7"/>
  <c r="AB31" i="19"/>
  <c r="AS26" i="21"/>
  <c r="BG29" i="13"/>
  <c r="AQ31" i="19"/>
  <c r="C26" i="7"/>
  <c r="AQ31" i="13"/>
  <c r="BD17" i="8"/>
  <c r="H17" i="7" s="1"/>
  <c r="BD13" i="13"/>
  <c r="BF9" i="13"/>
  <c r="BE9" i="13"/>
  <c r="AT23" i="20"/>
  <c r="Q31" i="8"/>
  <c r="H26" i="12"/>
  <c r="E23" i="12"/>
  <c r="D23" i="7"/>
  <c r="F23" i="12"/>
  <c r="D23" i="12"/>
  <c r="ER31" i="8"/>
  <c r="N19" i="11"/>
  <c r="AE14" i="21"/>
  <c r="AB14" i="21"/>
  <c r="L16" i="14"/>
  <c r="AP9" i="11"/>
  <c r="D16" i="6"/>
  <c r="Y22" i="11"/>
  <c r="Y18" i="11"/>
  <c r="L30" i="11"/>
  <c r="AC25" i="11"/>
  <c r="AG26" i="17"/>
  <c r="EL31" i="8"/>
  <c r="O14" i="21"/>
  <c r="BD12" i="21"/>
  <c r="BD14" i="21" s="1"/>
  <c r="BD31" i="21" s="1"/>
  <c r="K14" i="11"/>
  <c r="AC11" i="11"/>
  <c r="EQ31" i="8"/>
  <c r="AA30" i="11"/>
  <c r="M26" i="11"/>
  <c r="I13" i="3"/>
  <c r="E11" i="12"/>
  <c r="AP12" i="11"/>
  <c r="J30" i="11"/>
  <c r="AC28" i="11"/>
  <c r="E9" i="12"/>
  <c r="EN31" i="8"/>
  <c r="F12" i="21"/>
  <c r="J12" i="2"/>
  <c r="AN14" i="21"/>
  <c r="F21" i="2"/>
  <c r="N12" i="11"/>
  <c r="D12" i="2"/>
  <c r="B22" i="6"/>
  <c r="L22" i="14"/>
  <c r="I11" i="10"/>
  <c r="K11" i="10" s="1"/>
  <c r="I9" i="10"/>
  <c r="K9" i="10" s="1"/>
  <c r="G19" i="3"/>
  <c r="G14" i="11"/>
  <c r="D14" i="12" s="1"/>
  <c r="AO13" i="11"/>
  <c r="L14" i="11"/>
  <c r="AA26" i="11"/>
  <c r="AC17" i="11"/>
  <c r="I14" i="11"/>
  <c r="K23" i="11"/>
  <c r="E19" i="6"/>
  <c r="K19" i="12" s="1"/>
  <c r="G13" i="3"/>
  <c r="E22" i="6"/>
  <c r="M30" i="11"/>
  <c r="G16" i="3"/>
  <c r="AN9" i="11"/>
  <c r="D9" i="6"/>
  <c r="I20" i="3"/>
  <c r="I16" i="3"/>
  <c r="AI14" i="11"/>
  <c r="G12" i="12"/>
  <c r="D12" i="12"/>
  <c r="C16" i="14"/>
  <c r="K16" i="14" s="1"/>
  <c r="S14" i="11"/>
  <c r="AV14" i="11"/>
  <c r="AW33" i="11"/>
  <c r="R14" i="11"/>
  <c r="R23" i="11"/>
  <c r="R30" i="11"/>
  <c r="Y11" i="11"/>
  <c r="C12" i="14"/>
  <c r="K12" i="14" s="1"/>
  <c r="AC19" i="11"/>
  <c r="BB26" i="16"/>
  <c r="X23" i="11"/>
  <c r="X30" i="11"/>
  <c r="Z26" i="11"/>
  <c r="AC13" i="11"/>
  <c r="AB26" i="11"/>
  <c r="AD26" i="11"/>
  <c r="AF26" i="11"/>
  <c r="AF23" i="11"/>
  <c r="H26" i="11"/>
  <c r="J14" i="11"/>
  <c r="J23" i="11"/>
  <c r="I23" i="11"/>
  <c r="I26" i="11"/>
  <c r="I30" i="11"/>
  <c r="AT23" i="17"/>
  <c r="AT31" i="17" s="1"/>
  <c r="D22" i="6"/>
  <c r="E22" i="3"/>
  <c r="I13" i="7"/>
  <c r="AO21" i="11"/>
  <c r="D21" i="2"/>
  <c r="B21" i="6"/>
  <c r="W30" i="11"/>
  <c r="M14" i="11"/>
  <c r="AR19" i="11"/>
  <c r="M23" i="11"/>
  <c r="BA14" i="16"/>
  <c r="AR22" i="17"/>
  <c r="I11" i="3"/>
  <c r="H26" i="3"/>
  <c r="I26" i="3" s="1"/>
  <c r="D10" i="6"/>
  <c r="E18" i="3"/>
  <c r="L10" i="14"/>
  <c r="B17" i="6"/>
  <c r="L17" i="14"/>
  <c r="AP22" i="11"/>
  <c r="AP13" i="11"/>
  <c r="AP10" i="11"/>
  <c r="H30" i="11"/>
  <c r="N29" i="11"/>
  <c r="H23" i="3"/>
  <c r="I23" i="3" s="1"/>
  <c r="D26" i="3"/>
  <c r="E26" i="3" s="1"/>
  <c r="X14" i="11"/>
  <c r="AL10" i="11"/>
  <c r="AT14" i="11"/>
  <c r="N10" i="11"/>
  <c r="J13" i="7"/>
  <c r="E13" i="3"/>
  <c r="E17" i="3"/>
  <c r="E12" i="3"/>
  <c r="Y20" i="11"/>
  <c r="AU14" i="11"/>
  <c r="AC18" i="11"/>
  <c r="D17" i="6"/>
  <c r="AA30" i="17"/>
  <c r="H23" i="11"/>
  <c r="I21" i="3"/>
  <c r="AC21" i="11"/>
  <c r="L23" i="11"/>
  <c r="AT23" i="11"/>
  <c r="AT26" i="11" s="1"/>
  <c r="AT30" i="11" s="1"/>
  <c r="AI23" i="11"/>
  <c r="AF14" i="21"/>
  <c r="AX14" i="21"/>
  <c r="AZ33" i="21"/>
  <c r="E14" i="11"/>
  <c r="AL19" i="11"/>
  <c r="Y19" i="11"/>
  <c r="Y29" i="11"/>
  <c r="N13" i="11"/>
  <c r="N9" i="11"/>
  <c r="AC16" i="11"/>
  <c r="H14" i="11"/>
  <c r="F17" i="10"/>
  <c r="J9" i="2"/>
  <c r="BI16" i="16"/>
  <c r="AN16" i="11"/>
  <c r="Y12" i="11"/>
  <c r="E14" i="21"/>
  <c r="T10" i="21"/>
  <c r="AL14" i="21"/>
  <c r="E23" i="2"/>
  <c r="H30" i="3"/>
  <c r="BI18" i="16"/>
  <c r="G17" i="3"/>
  <c r="AO17" i="11"/>
  <c r="D17" i="2"/>
  <c r="E16" i="6"/>
  <c r="C16" i="6"/>
  <c r="I16" i="12" s="1"/>
  <c r="Y25" i="11"/>
  <c r="W26" i="11"/>
  <c r="F10" i="10"/>
  <c r="E28" i="3"/>
  <c r="D26" i="14"/>
  <c r="D11" i="2"/>
  <c r="AO10" i="11"/>
  <c r="E13" i="6"/>
  <c r="AO19" i="11"/>
  <c r="F19" i="2"/>
  <c r="D19" i="6"/>
  <c r="J19" i="12" s="1"/>
  <c r="H19" i="2"/>
  <c r="C19" i="6"/>
  <c r="I19" i="12" s="1"/>
  <c r="Y9" i="11"/>
  <c r="W14" i="11"/>
  <c r="F9" i="12"/>
  <c r="AN10" i="11"/>
  <c r="AH26" i="11"/>
  <c r="N11" i="11"/>
  <c r="AN13" i="11"/>
  <c r="G9" i="12"/>
  <c r="N21" i="11"/>
  <c r="AC12" i="11"/>
  <c r="E19" i="3"/>
  <c r="I12" i="3"/>
  <c r="E12" i="12"/>
  <c r="Y21" i="11"/>
  <c r="Y17" i="11"/>
  <c r="AP25" i="11"/>
  <c r="J26" i="11"/>
  <c r="AP21" i="11"/>
  <c r="R26" i="11"/>
  <c r="X26" i="11"/>
  <c r="N20" i="11"/>
  <c r="E20" i="3"/>
  <c r="Y13" i="11"/>
  <c r="L26" i="11"/>
  <c r="AC26" i="11"/>
  <c r="E26" i="14"/>
  <c r="AH30" i="11"/>
  <c r="M26" i="2"/>
  <c r="I10" i="10"/>
  <c r="K10" i="10" s="1"/>
  <c r="I18" i="10"/>
  <c r="K18" i="10" s="1"/>
  <c r="ES31" i="8"/>
  <c r="AX14" i="11"/>
  <c r="AA23" i="11"/>
  <c r="L31" i="8"/>
  <c r="G23" i="12"/>
  <c r="C23" i="7"/>
  <c r="BG23" i="16"/>
  <c r="C26" i="2"/>
  <c r="D26" i="2" s="1"/>
  <c r="L25" i="14"/>
  <c r="BG26" i="16"/>
  <c r="AN26" i="17"/>
  <c r="AC31" i="8"/>
  <c r="W31" i="8"/>
  <c r="W31" i="13"/>
  <c r="S31" i="13"/>
  <c r="BF20" i="8"/>
  <c r="AQ10" i="11"/>
  <c r="X31" i="13"/>
  <c r="AQ29" i="11"/>
  <c r="BG9" i="13"/>
  <c r="BA14" i="13"/>
  <c r="V31" i="13"/>
  <c r="W23" i="11"/>
  <c r="AQ13" i="11"/>
  <c r="AG31" i="19"/>
  <c r="AO23" i="20"/>
  <c r="BH31" i="13"/>
  <c r="AC31" i="13"/>
  <c r="Y31" i="13"/>
  <c r="Q31" i="13"/>
  <c r="F9" i="11"/>
  <c r="AQ19" i="11"/>
  <c r="AQ22" i="11"/>
  <c r="N25" i="11"/>
  <c r="F18" i="11"/>
  <c r="AQ18" i="11" s="1"/>
  <c r="F12" i="11"/>
  <c r="AQ12" i="11" s="1"/>
  <c r="AS31" i="8"/>
  <c r="R8" i="9"/>
  <c r="X12" i="21" s="1"/>
  <c r="BM31" i="8"/>
  <c r="BD21" i="13"/>
  <c r="Y31" i="8"/>
  <c r="AK31" i="8"/>
  <c r="CI31" i="8"/>
  <c r="R31" i="8"/>
  <c r="Z31" i="8"/>
  <c r="BK31" i="8"/>
  <c r="F16" i="11"/>
  <c r="AQ16" i="11" s="1"/>
  <c r="AA31" i="8"/>
  <c r="AE31" i="8"/>
  <c r="AI31" i="8"/>
  <c r="F18" i="16"/>
  <c r="EP31" i="8"/>
  <c r="AX23" i="11"/>
  <c r="AX26" i="11" s="1"/>
  <c r="ER31" i="13"/>
  <c r="AL14" i="16"/>
  <c r="AJ14" i="16"/>
  <c r="AJ31" i="16" s="1"/>
  <c r="EP31" i="19"/>
  <c r="T9" i="11"/>
  <c r="BE11" i="11"/>
  <c r="BH11" i="16"/>
  <c r="BK19" i="11"/>
  <c r="BH21" i="16"/>
  <c r="V16" i="11"/>
  <c r="S20" i="14"/>
  <c r="V20" i="14" s="1"/>
  <c r="BI22" i="11"/>
  <c r="BK9" i="11"/>
  <c r="BE13" i="11"/>
  <c r="BJ13" i="11"/>
  <c r="BI18" i="11"/>
  <c r="BH18" i="16"/>
  <c r="BF25" i="11"/>
  <c r="BG16" i="11"/>
  <c r="BF10" i="11"/>
  <c r="BE19" i="11"/>
  <c r="BH16" i="16"/>
  <c r="BH19" i="16"/>
  <c r="BL17" i="11"/>
  <c r="BI19" i="11"/>
  <c r="Q18" i="20"/>
  <c r="Q23" i="20" s="1"/>
  <c r="P18" i="17"/>
  <c r="V11" i="16"/>
  <c r="AP30" i="21"/>
  <c r="AO30" i="17"/>
  <c r="BK18" i="11"/>
  <c r="BE28" i="11"/>
  <c r="BL29" i="11"/>
  <c r="BE21" i="11"/>
  <c r="BH28" i="11"/>
  <c r="BE18" i="11"/>
  <c r="BE29" i="11"/>
  <c r="V25" i="11"/>
  <c r="BJ12" i="11"/>
  <c r="AO13" i="17"/>
  <c r="BF20" i="11"/>
  <c r="BG19" i="11"/>
  <c r="BE17" i="11"/>
  <c r="BE25" i="11"/>
  <c r="BF22" i="11"/>
  <c r="BJ19" i="11"/>
  <c r="AP30" i="20"/>
  <c r="AO16" i="17"/>
  <c r="BE10" i="11"/>
  <c r="S18" i="16"/>
  <c r="BJ29" i="11"/>
  <c r="BJ9" i="11"/>
  <c r="AM21" i="11"/>
  <c r="BK12" i="11"/>
  <c r="X17" i="17"/>
  <c r="AY29" i="11"/>
  <c r="AQ26" i="21"/>
  <c r="R12" i="14"/>
  <c r="AY19" i="11"/>
  <c r="AF14" i="11"/>
  <c r="AS14" i="16"/>
  <c r="BM16" i="16"/>
  <c r="F17" i="16"/>
  <c r="BL17" i="16" s="1"/>
  <c r="S14" i="16"/>
  <c r="BL29" i="16"/>
  <c r="V12" i="21"/>
  <c r="BF26" i="16"/>
  <c r="AC23" i="16"/>
  <c r="H23" i="16"/>
  <c r="H31" i="16" s="1"/>
  <c r="I26" i="16"/>
  <c r="AY26" i="16"/>
  <c r="I14" i="16"/>
  <c r="BN23" i="16"/>
  <c r="BN31" i="16" s="1"/>
  <c r="BM29" i="16"/>
  <c r="AG14" i="16"/>
  <c r="P14" i="16"/>
  <c r="F13" i="16"/>
  <c r="BL13" i="16" s="1"/>
  <c r="U30" i="16"/>
  <c r="AM14" i="20"/>
  <c r="AD14" i="20"/>
  <c r="W14" i="20"/>
  <c r="X14" i="20" s="1"/>
  <c r="N30" i="16"/>
  <c r="BC33" i="21"/>
  <c r="G14" i="21"/>
  <c r="H14" i="21"/>
  <c r="AN14" i="20"/>
  <c r="AT18" i="20"/>
  <c r="X11" i="17"/>
  <c r="O23" i="17"/>
  <c r="O31" i="17" s="1"/>
  <c r="Y14" i="17"/>
  <c r="AC26" i="16"/>
  <c r="AV14" i="16"/>
  <c r="AO26" i="16"/>
  <c r="X19" i="20"/>
  <c r="J23" i="20"/>
  <c r="AE23" i="20"/>
  <c r="AS21" i="20"/>
  <c r="AQ13" i="17"/>
  <c r="J14" i="17"/>
  <c r="AL14" i="17"/>
  <c r="AU14" i="17"/>
  <c r="Z14" i="17"/>
  <c r="T14" i="17"/>
  <c r="AQ21" i="17"/>
  <c r="G14" i="17"/>
  <c r="K14" i="17"/>
  <c r="R30" i="17"/>
  <c r="F18" i="17"/>
  <c r="AQ18" i="17" s="1"/>
  <c r="Y23" i="17"/>
  <c r="V18" i="16"/>
  <c r="AL9" i="11"/>
  <c r="AL18" i="11"/>
  <c r="C23" i="2"/>
  <c r="D23" i="2" s="1"/>
  <c r="K26" i="2"/>
  <c r="AN11" i="11"/>
  <c r="K23" i="2"/>
  <c r="C11" i="6"/>
  <c r="AN18" i="11"/>
  <c r="J21" i="2"/>
  <c r="F9" i="2"/>
  <c r="N26" i="2"/>
  <c r="L11" i="14"/>
  <c r="H18" i="2"/>
  <c r="H16" i="2"/>
  <c r="M14" i="2"/>
  <c r="M23" i="2"/>
  <c r="N14" i="2"/>
  <c r="AO18" i="17"/>
  <c r="C18" i="6"/>
  <c r="L18" i="14"/>
  <c r="J29" i="2"/>
  <c r="D18" i="2"/>
  <c r="L20" i="14"/>
  <c r="G26" i="2"/>
  <c r="D18" i="6"/>
  <c r="J18" i="12" s="1"/>
  <c r="N23" i="2"/>
  <c r="K30" i="2"/>
  <c r="J20" i="2"/>
  <c r="G14" i="2"/>
  <c r="C30" i="2"/>
  <c r="D30" i="2" s="1"/>
  <c r="H20" i="2"/>
  <c r="AM20" i="11"/>
  <c r="B20" i="6"/>
  <c r="AN12" i="11"/>
  <c r="AL12" i="11"/>
  <c r="F29" i="2"/>
  <c r="F13" i="2"/>
  <c r="AM12" i="11"/>
  <c r="J20" i="7"/>
  <c r="C14" i="2"/>
  <c r="D14" i="2" s="1"/>
  <c r="C12" i="6"/>
  <c r="I12" i="12" s="1"/>
  <c r="E12" i="6"/>
  <c r="D20" i="6"/>
  <c r="J20" i="12" s="1"/>
  <c r="G23" i="2"/>
  <c r="J12" i="7"/>
  <c r="F30" i="17"/>
  <c r="F26" i="17"/>
  <c r="AN20" i="11"/>
  <c r="AL20" i="11"/>
  <c r="Z14" i="11"/>
  <c r="AC10" i="11"/>
  <c r="AB14" i="11"/>
  <c r="AB23" i="11"/>
  <c r="AC22" i="11"/>
  <c r="AC29" i="11"/>
  <c r="AC30" i="11" s="1"/>
  <c r="AB30" i="11"/>
  <c r="AD14" i="11"/>
  <c r="H14" i="12"/>
  <c r="M31" i="8"/>
  <c r="F14" i="7"/>
  <c r="C14" i="7"/>
  <c r="T31" i="8"/>
  <c r="E14" i="7"/>
  <c r="AB31" i="8"/>
  <c r="AJ31" i="8"/>
  <c r="T14" i="12"/>
  <c r="BJ21" i="11"/>
  <c r="BJ16" i="11"/>
  <c r="X17" i="20"/>
  <c r="BJ11" i="11"/>
  <c r="S9" i="17"/>
  <c r="X9" i="17"/>
  <c r="V11" i="11"/>
  <c r="BI21" i="11"/>
  <c r="AY18" i="11"/>
  <c r="BF29" i="11"/>
  <c r="BH25" i="11"/>
  <c r="V21" i="11"/>
  <c r="AP10" i="21"/>
  <c r="BH10" i="11"/>
  <c r="BL12" i="11"/>
  <c r="BE22" i="11"/>
  <c r="AP21" i="20"/>
  <c r="Q10" i="21"/>
  <c r="V13" i="11"/>
  <c r="BG9" i="11"/>
  <c r="BH20" i="16"/>
  <c r="BL25" i="11"/>
  <c r="S17" i="14"/>
  <c r="V17" i="14" s="1"/>
  <c r="S9" i="14"/>
  <c r="V9" i="14" s="1"/>
  <c r="V9" i="11"/>
  <c r="BH16" i="11"/>
  <c r="AM9" i="11"/>
  <c r="BI11" i="11"/>
  <c r="BJ25" i="11"/>
  <c r="AO26" i="17"/>
  <c r="BH19" i="11"/>
  <c r="BI29" i="11"/>
  <c r="BH22" i="16"/>
  <c r="V28" i="11"/>
  <c r="BI16" i="11"/>
  <c r="BL13" i="11"/>
  <c r="R10" i="21"/>
  <c r="R14" i="21" s="1"/>
  <c r="BG20" i="11"/>
  <c r="X18" i="20"/>
  <c r="AP22" i="20"/>
  <c r="BI12" i="11"/>
  <c r="BI20" i="11"/>
  <c r="X20" i="20"/>
  <c r="BH18" i="11"/>
  <c r="AP16" i="20"/>
  <c r="BF9" i="11"/>
  <c r="BF16" i="11"/>
  <c r="S28" i="14"/>
  <c r="V28" i="14" s="1"/>
  <c r="AY13" i="11"/>
  <c r="V13" i="16"/>
  <c r="T14" i="11"/>
  <c r="R25" i="14"/>
  <c r="AP23" i="21"/>
  <c r="AO10" i="17"/>
  <c r="BK11" i="11"/>
  <c r="BG13" i="11"/>
  <c r="AQ14" i="21"/>
  <c r="BH28" i="16"/>
  <c r="V20" i="11"/>
  <c r="R18" i="20"/>
  <c r="R23" i="20" s="1"/>
  <c r="BK13" i="11"/>
  <c r="V29" i="11"/>
  <c r="BK25" i="11"/>
  <c r="BK21" i="11"/>
  <c r="BG18" i="11"/>
  <c r="V22" i="11"/>
  <c r="BF19" i="11"/>
  <c r="BJ18" i="11"/>
  <c r="BL16" i="11"/>
  <c r="T20" i="11"/>
  <c r="AY21" i="11"/>
  <c r="AY9" i="11"/>
  <c r="AY14" i="11" s="1"/>
  <c r="T18" i="16"/>
  <c r="AM19" i="11"/>
  <c r="AP26" i="21"/>
  <c r="AP14" i="21"/>
  <c r="AO28" i="17"/>
  <c r="BL20" i="11"/>
  <c r="BK29" i="11"/>
  <c r="AP18" i="20"/>
  <c r="BI25" i="11"/>
  <c r="BI28" i="11"/>
  <c r="T16" i="16"/>
  <c r="BF21" i="11"/>
  <c r="S10" i="14"/>
  <c r="V10" i="14" s="1"/>
  <c r="T29" i="11"/>
  <c r="AY16" i="11"/>
  <c r="AY23" i="11" s="1"/>
  <c r="BT28" i="17"/>
  <c r="BT20" i="20"/>
  <c r="BT25" i="17"/>
  <c r="BT16" i="17"/>
  <c r="BT11" i="17"/>
  <c r="BT19" i="16"/>
  <c r="BT28" i="16"/>
  <c r="BT19" i="20"/>
  <c r="BT9" i="20"/>
  <c r="BT18" i="16"/>
  <c r="BT13" i="16"/>
  <c r="V16" i="20"/>
  <c r="V23" i="20" s="1"/>
  <c r="U12" i="17"/>
  <c r="X20" i="16"/>
  <c r="BT21" i="17"/>
  <c r="BT18" i="20"/>
  <c r="BT13" i="20"/>
  <c r="BT10" i="17"/>
  <c r="BT17" i="16"/>
  <c r="BT12" i="16"/>
  <c r="BT21" i="16"/>
  <c r="BT25" i="20"/>
  <c r="BT17" i="20"/>
  <c r="BT12" i="20"/>
  <c r="BT29" i="17"/>
  <c r="BT22" i="17"/>
  <c r="BT25" i="16"/>
  <c r="BT16" i="16"/>
  <c r="BT11" i="16"/>
  <c r="U13" i="17"/>
  <c r="X17" i="16"/>
  <c r="X21" i="16"/>
  <c r="BT16" i="20"/>
  <c r="BT11" i="20"/>
  <c r="BT20" i="17"/>
  <c r="BT9" i="17"/>
  <c r="U10" i="17"/>
  <c r="X9" i="16"/>
  <c r="X31" i="16" s="1"/>
  <c r="S21" i="17"/>
  <c r="BT29" i="20"/>
  <c r="BT19" i="17"/>
  <c r="BT10" i="16"/>
  <c r="BT28" i="20"/>
  <c r="BT22" i="20"/>
  <c r="BT10" i="20"/>
  <c r="BT18" i="17"/>
  <c r="BT13" i="17"/>
  <c r="BT29" i="16"/>
  <c r="BT22" i="16"/>
  <c r="V12" i="16"/>
  <c r="S11" i="17"/>
  <c r="BT21" i="20"/>
  <c r="BT17" i="17"/>
  <c r="BT12" i="17"/>
  <c r="BT20" i="16"/>
  <c r="BT9" i="16"/>
  <c r="S22" i="17"/>
  <c r="AA17" i="16"/>
  <c r="AA28" i="16"/>
  <c r="T14" i="16"/>
  <c r="AA29" i="16"/>
  <c r="S28" i="17"/>
  <c r="AY10" i="11"/>
  <c r="AY22" i="11"/>
  <c r="S25" i="17"/>
  <c r="X22" i="17"/>
  <c r="T13" i="11"/>
  <c r="AA20" i="16"/>
  <c r="AA18" i="16"/>
  <c r="T19" i="11"/>
  <c r="R28" i="14"/>
  <c r="S12" i="14"/>
  <c r="V12" i="14" s="1"/>
  <c r="T21" i="11"/>
  <c r="AY20" i="11"/>
  <c r="AY17" i="11"/>
  <c r="X10" i="17"/>
  <c r="AA16" i="16"/>
  <c r="V16" i="16"/>
  <c r="AY12" i="11"/>
  <c r="T28" i="11"/>
  <c r="X16" i="17"/>
  <c r="T22" i="11"/>
  <c r="R10" i="14"/>
  <c r="X13" i="17"/>
  <c r="S11" i="14"/>
  <c r="V11" i="14" s="1"/>
  <c r="T25" i="11"/>
  <c r="R17" i="14"/>
  <c r="BE20" i="11"/>
  <c r="S29" i="14"/>
  <c r="V29" i="14" s="1"/>
  <c r="T16" i="11"/>
  <c r="AY11" i="11"/>
  <c r="AY28" i="11"/>
  <c r="S18" i="14"/>
  <c r="V18" i="14" s="1"/>
  <c r="T17" i="11"/>
  <c r="X18" i="17"/>
  <c r="S13" i="14"/>
  <c r="V13" i="14" s="1"/>
  <c r="BF12" i="11"/>
  <c r="S16" i="16"/>
  <c r="S23" i="16" s="1"/>
  <c r="S31" i="16" s="1"/>
  <c r="Q18" i="17"/>
  <c r="P16" i="17"/>
  <c r="BH20" i="11"/>
  <c r="AP14" i="20"/>
  <c r="BK20" i="11"/>
  <c r="BG10" i="11"/>
  <c r="BE12" i="11"/>
  <c r="BH9" i="11"/>
  <c r="BK16" i="11"/>
  <c r="AQ10" i="21"/>
  <c r="BH25" i="16"/>
  <c r="BK28" i="11"/>
  <c r="BG21" i="11"/>
  <c r="AO29" i="17"/>
  <c r="BJ20" i="11"/>
  <c r="BK10" i="11"/>
  <c r="T19" i="20"/>
  <c r="AY25" i="11"/>
  <c r="AY30" i="11" s="1"/>
  <c r="T12" i="11"/>
  <c r="R11" i="14"/>
  <c r="S10" i="17"/>
  <c r="BI10" i="11"/>
  <c r="BH26" i="16"/>
  <c r="BH10" i="16"/>
  <c r="BJ17" i="11"/>
  <c r="BH29" i="11"/>
  <c r="Q16" i="17"/>
  <c r="BG11" i="11"/>
  <c r="BL18" i="11"/>
  <c r="BF17" i="11"/>
  <c r="BE16" i="11"/>
  <c r="BH23" i="16"/>
  <c r="T11" i="11"/>
  <c r="S18" i="17"/>
  <c r="R19" i="14"/>
  <c r="BG17" i="11"/>
  <c r="BL21" i="11"/>
  <c r="BK22" i="11"/>
  <c r="BL9" i="11"/>
  <c r="AQ12" i="21"/>
  <c r="AO25" i="17"/>
  <c r="BH22" i="11"/>
  <c r="BH12" i="16"/>
  <c r="BH30" i="16"/>
  <c r="BG25" i="11"/>
  <c r="BI17" i="11"/>
  <c r="BJ10" i="11"/>
  <c r="BJ22" i="11"/>
  <c r="BH14" i="16"/>
  <c r="BH21" i="11"/>
  <c r="BK17" i="11"/>
  <c r="T14" i="20"/>
  <c r="BG22" i="11"/>
  <c r="F14" i="12"/>
  <c r="F30" i="3"/>
  <c r="G30" i="3" s="1"/>
  <c r="S31" i="8"/>
  <c r="J28" i="7"/>
  <c r="BE25" i="8"/>
  <c r="BD25" i="8"/>
  <c r="H25" i="7" s="1"/>
  <c r="BG25" i="8"/>
  <c r="K25" i="7" s="1"/>
  <c r="BA26" i="8"/>
  <c r="BF25" i="8"/>
  <c r="J25" i="7" s="1"/>
  <c r="AY23" i="8"/>
  <c r="BB26" i="13"/>
  <c r="BE26" i="13" s="1"/>
  <c r="S13" i="17"/>
  <c r="K26" i="11"/>
  <c r="K30" i="11" s="1"/>
  <c r="BB31" i="19"/>
  <c r="BF16" i="8"/>
  <c r="J16" i="7" s="1"/>
  <c r="AE31" i="13"/>
  <c r="D30" i="12"/>
  <c r="B30" i="7"/>
  <c r="BE28" i="8"/>
  <c r="I28" i="7" s="1"/>
  <c r="BB30" i="8"/>
  <c r="L31" i="13"/>
  <c r="AM14" i="17"/>
  <c r="AY30" i="8"/>
  <c r="BD18" i="13"/>
  <c r="AZ23" i="13"/>
  <c r="BB14" i="13"/>
  <c r="G26" i="12"/>
  <c r="E26" i="7"/>
  <c r="BG10" i="8"/>
  <c r="K10" i="7" s="1"/>
  <c r="AY14" i="8"/>
  <c r="BG12" i="8"/>
  <c r="K12" i="7" s="1"/>
  <c r="BD12" i="8"/>
  <c r="H12" i="7" s="1"/>
  <c r="BD16" i="8"/>
  <c r="H16" i="7" s="1"/>
  <c r="BG16" i="8"/>
  <c r="K16" i="7" s="1"/>
  <c r="BG9" i="8"/>
  <c r="K9" i="7" s="1"/>
  <c r="BI20" i="16"/>
  <c r="AZ30" i="8"/>
  <c r="BD9" i="8"/>
  <c r="H9" i="7" s="1"/>
  <c r="BF9" i="8"/>
  <c r="J9" i="7" s="1"/>
  <c r="BE9" i="8"/>
  <c r="I9" i="7" s="1"/>
  <c r="BA14" i="8"/>
  <c r="X12" i="17"/>
  <c r="AE14" i="17"/>
  <c r="BF30" i="13"/>
  <c r="AA23" i="21"/>
  <c r="AO20" i="11"/>
  <c r="BC26" i="13"/>
  <c r="BC31" i="13" s="1"/>
  <c r="BG30" i="13"/>
  <c r="J18" i="7"/>
  <c r="BG21" i="8"/>
  <c r="X21" i="17"/>
  <c r="N14" i="17"/>
  <c r="AT22" i="20"/>
  <c r="P23" i="20"/>
  <c r="L10" i="2"/>
  <c r="L22" i="2"/>
  <c r="L28" i="2"/>
  <c r="X22" i="16"/>
  <c r="BF30" i="16"/>
  <c r="E26" i="17"/>
  <c r="BD23" i="16"/>
  <c r="AY33" i="20"/>
  <c r="X21" i="20"/>
  <c r="H30" i="12"/>
  <c r="C30" i="7"/>
  <c r="AK23" i="17"/>
  <c r="Z14" i="20"/>
  <c r="AA10" i="16"/>
  <c r="AK14" i="17"/>
  <c r="AF14" i="17"/>
  <c r="AF23" i="20"/>
  <c r="AN23" i="20"/>
  <c r="AN33" i="20" s="1"/>
  <c r="F17" i="11"/>
  <c r="I31" i="8"/>
  <c r="F17" i="17"/>
  <c r="U31" i="13"/>
  <c r="AU23" i="17"/>
  <c r="G30" i="16"/>
  <c r="AA25" i="16"/>
  <c r="AG14" i="17"/>
  <c r="AJ14" i="17"/>
  <c r="AJ23" i="17"/>
  <c r="J23" i="17"/>
  <c r="K23" i="17"/>
  <c r="AA14" i="17"/>
  <c r="BL25" i="16"/>
  <c r="S16" i="17"/>
  <c r="L29" i="2"/>
  <c r="X12" i="16"/>
  <c r="E14" i="17"/>
  <c r="AH14" i="16"/>
  <c r="AW23" i="20"/>
  <c r="AW26" i="20" s="1"/>
  <c r="AW30" i="20" s="1"/>
  <c r="S17" i="17"/>
  <c r="L11" i="2"/>
  <c r="L16" i="2"/>
  <c r="V19" i="16"/>
  <c r="L12" i="2"/>
  <c r="L17" i="2"/>
  <c r="L25" i="2"/>
  <c r="X19" i="16"/>
  <c r="V21" i="16"/>
  <c r="L13" i="2"/>
  <c r="L18" i="2"/>
  <c r="X10" i="21"/>
  <c r="AO14" i="21"/>
  <c r="BC31" i="21"/>
  <c r="L19" i="2"/>
  <c r="AV23" i="20"/>
  <c r="AV31" i="20" s="1"/>
  <c r="L20" i="2"/>
  <c r="X16" i="16"/>
  <c r="X23" i="16" s="1"/>
  <c r="X25" i="16"/>
  <c r="X30" i="16" s="1"/>
  <c r="U9" i="17"/>
  <c r="U31" i="17" s="1"/>
  <c r="AA11" i="16"/>
  <c r="AK23" i="20"/>
  <c r="O23" i="20"/>
  <c r="V10" i="16"/>
  <c r="L9" i="2"/>
  <c r="L21" i="2"/>
  <c r="AY31" i="11"/>
  <c r="H31" i="12"/>
  <c r="BL18" i="16"/>
  <c r="Z23" i="16"/>
  <c r="AA23" i="16" s="1"/>
  <c r="BF14" i="16"/>
  <c r="BL19" i="16"/>
  <c r="AP14" i="16"/>
  <c r="AL31" i="16"/>
  <c r="BK14" i="16"/>
  <c r="O23" i="16"/>
  <c r="O26" i="16" s="1"/>
  <c r="R26" i="16"/>
  <c r="AA9" i="16"/>
  <c r="AB14" i="16"/>
  <c r="G14" i="16"/>
  <c r="BD14" i="16"/>
  <c r="AB26" i="16"/>
  <c r="BE14" i="16"/>
  <c r="F16" i="16"/>
  <c r="BL16" i="16" s="1"/>
  <c r="V25" i="16"/>
  <c r="V9" i="16"/>
  <c r="BL28" i="16"/>
  <c r="K14" i="2"/>
  <c r="H14" i="2"/>
  <c r="U14" i="16"/>
  <c r="AF14" i="16"/>
  <c r="AA14" i="11"/>
  <c r="F11" i="11"/>
  <c r="AQ11" i="11" s="1"/>
  <c r="F11" i="16"/>
  <c r="BL11" i="16" s="1"/>
  <c r="E9" i="6"/>
  <c r="W23" i="16"/>
  <c r="W26" i="16" s="1"/>
  <c r="W30" i="16" s="1"/>
  <c r="W14" i="16"/>
  <c r="X13" i="16"/>
  <c r="T23" i="17"/>
  <c r="T26" i="17" s="1"/>
  <c r="T30" i="17" s="1"/>
  <c r="U26" i="16"/>
  <c r="F26" i="16"/>
  <c r="F30" i="16"/>
  <c r="D30" i="14"/>
  <c r="E30" i="14"/>
  <c r="C10" i="14"/>
  <c r="K10" i="14" s="1"/>
  <c r="C22" i="14"/>
  <c r="K22" i="14" s="1"/>
  <c r="C21" i="14"/>
  <c r="K21" i="14" s="1"/>
  <c r="C13" i="14"/>
  <c r="K13" i="14" s="1"/>
  <c r="BF16" i="13"/>
  <c r="BG16" i="13"/>
  <c r="BB23" i="13"/>
  <c r="BA23" i="13"/>
  <c r="BA31" i="13" s="1"/>
  <c r="BE17" i="13"/>
  <c r="BE16" i="13"/>
  <c r="BF17" i="13"/>
  <c r="Q32" i="20"/>
  <c r="G14" i="14"/>
  <c r="I32" i="20"/>
  <c r="AX32" i="20"/>
  <c r="F23" i="2" l="1"/>
  <c r="BF11" i="8"/>
  <c r="J11" i="7" s="1"/>
  <c r="I11" i="12"/>
  <c r="J10" i="2"/>
  <c r="F31" i="7"/>
  <c r="AL23" i="11"/>
  <c r="F12" i="2"/>
  <c r="B29" i="6"/>
  <c r="AL13" i="11"/>
  <c r="AL22" i="11"/>
  <c r="F20" i="2"/>
  <c r="C20" i="6"/>
  <c r="D28" i="2"/>
  <c r="E28" i="6"/>
  <c r="C25" i="6"/>
  <c r="J25" i="2"/>
  <c r="AM25" i="11"/>
  <c r="F25" i="2"/>
  <c r="B25" i="6"/>
  <c r="E26" i="2"/>
  <c r="F26" i="2" s="1"/>
  <c r="B11" i="6"/>
  <c r="AL11" i="11"/>
  <c r="AO9" i="11"/>
  <c r="E14" i="2"/>
  <c r="AO14" i="11" s="1"/>
  <c r="AO12" i="11"/>
  <c r="H12" i="2"/>
  <c r="L12" i="14"/>
  <c r="I12" i="7"/>
  <c r="D12" i="6"/>
  <c r="J12" i="12" s="1"/>
  <c r="B12" i="6"/>
  <c r="AO12" i="17"/>
  <c r="C10" i="6"/>
  <c r="B10" i="6"/>
  <c r="I10" i="7"/>
  <c r="E10" i="6"/>
  <c r="AO11" i="11"/>
  <c r="E11" i="6"/>
  <c r="L13" i="14"/>
  <c r="C13" i="6"/>
  <c r="AM13" i="11"/>
  <c r="J13" i="2"/>
  <c r="AM11" i="11"/>
  <c r="I11" i="7"/>
  <c r="C9" i="6"/>
  <c r="L9" i="14"/>
  <c r="AO9" i="17"/>
  <c r="I14" i="2"/>
  <c r="J14" i="2" s="1"/>
  <c r="D22" i="2"/>
  <c r="AO22" i="11"/>
  <c r="D20" i="2"/>
  <c r="E20" i="6"/>
  <c r="AO18" i="11"/>
  <c r="K18" i="7"/>
  <c r="H18" i="7"/>
  <c r="B18" i="6"/>
  <c r="AL16" i="11"/>
  <c r="B16" i="6"/>
  <c r="AO16" i="11"/>
  <c r="F16" i="2"/>
  <c r="H21" i="2"/>
  <c r="E21" i="6"/>
  <c r="AN21" i="11"/>
  <c r="BI21" i="16"/>
  <c r="L21" i="14"/>
  <c r="D21" i="6"/>
  <c r="AL21" i="11"/>
  <c r="C21" i="6"/>
  <c r="AO21" i="17"/>
  <c r="B19" i="6"/>
  <c r="J19" i="7"/>
  <c r="AN19" i="11"/>
  <c r="AL17" i="11"/>
  <c r="BI17" i="16"/>
  <c r="C17" i="6"/>
  <c r="AN17" i="11"/>
  <c r="E17" i="6"/>
  <c r="AM17" i="11"/>
  <c r="AO17" i="17"/>
  <c r="C22" i="6"/>
  <c r="J22" i="2"/>
  <c r="AM22" i="11"/>
  <c r="I16" i="7"/>
  <c r="I23" i="2"/>
  <c r="J23" i="2" s="1"/>
  <c r="AM16" i="11"/>
  <c r="AO28" i="11"/>
  <c r="H29" i="2"/>
  <c r="F10" i="2"/>
  <c r="H10" i="2"/>
  <c r="AL28" i="11"/>
  <c r="K29" i="7"/>
  <c r="B13" i="6"/>
  <c r="B9" i="6"/>
  <c r="I19" i="7"/>
  <c r="K19" i="7"/>
  <c r="AL25" i="11"/>
  <c r="F18" i="2"/>
  <c r="J16" i="2"/>
  <c r="P25" i="11"/>
  <c r="BF23" i="13"/>
  <c r="BH9" i="16"/>
  <c r="AP17" i="20"/>
  <c r="T18" i="11"/>
  <c r="R18" i="14"/>
  <c r="V10" i="21"/>
  <c r="R13" i="14"/>
  <c r="S19" i="14"/>
  <c r="V19" i="14" s="1"/>
  <c r="R29" i="14"/>
  <c r="S16" i="14"/>
  <c r="V16" i="14" s="1"/>
  <c r="X25" i="17"/>
  <c r="X22" i="20"/>
  <c r="U10" i="21"/>
  <c r="S21" i="14"/>
  <c r="V21" i="14" s="1"/>
  <c r="R22" i="14"/>
  <c r="T18" i="20"/>
  <c r="AA12" i="21"/>
  <c r="R31" i="20"/>
  <c r="R31" i="19"/>
  <c r="AS14" i="21"/>
  <c r="AP23" i="20"/>
  <c r="B23" i="6"/>
  <c r="I13" i="12"/>
  <c r="I10" i="12"/>
  <c r="D9" i="12"/>
  <c r="F26" i="3"/>
  <c r="G26" i="3" s="1"/>
  <c r="AM14" i="11"/>
  <c r="C29" i="6"/>
  <c r="I29" i="12" s="1"/>
  <c r="H25" i="2"/>
  <c r="BE14" i="13"/>
  <c r="J9" i="12"/>
  <c r="Q16" i="11"/>
  <c r="D26" i="6"/>
  <c r="AO14" i="17"/>
  <c r="BD14" i="13"/>
  <c r="H33" i="11"/>
  <c r="J13" i="10"/>
  <c r="L13" i="10" s="1"/>
  <c r="AC20" i="11"/>
  <c r="AM14" i="21"/>
  <c r="Q9" i="11"/>
  <c r="AN29" i="11"/>
  <c r="D23" i="3"/>
  <c r="E23" i="3" s="1"/>
  <c r="J25" i="10"/>
  <c r="L25" i="10" s="1"/>
  <c r="AB26" i="17"/>
  <c r="AW33" i="17"/>
  <c r="AC26" i="17"/>
  <c r="W14" i="17"/>
  <c r="X14" i="17" s="1"/>
  <c r="BJ14" i="11"/>
  <c r="AG14" i="11"/>
  <c r="F16" i="17"/>
  <c r="AQ16" i="17" s="1"/>
  <c r="K9" i="12"/>
  <c r="I9" i="12"/>
  <c r="K10" i="12"/>
  <c r="AY26" i="11"/>
  <c r="J16" i="12"/>
  <c r="AN25" i="11"/>
  <c r="R31" i="21"/>
  <c r="L31" i="21"/>
  <c r="G32" i="21"/>
  <c r="M31" i="21"/>
  <c r="BE23" i="19"/>
  <c r="BF23" i="19"/>
  <c r="AC31" i="17"/>
  <c r="F11" i="17"/>
  <c r="AQ11" i="17" s="1"/>
  <c r="X14" i="16"/>
  <c r="BK31" i="13"/>
  <c r="AA31" i="13"/>
  <c r="N31" i="13"/>
  <c r="Q25" i="11"/>
  <c r="C14" i="5"/>
  <c r="Y28" i="11"/>
  <c r="AP29" i="11"/>
  <c r="AP20" i="11"/>
  <c r="AP18" i="11"/>
  <c r="AP16" i="11"/>
  <c r="Y10" i="11"/>
  <c r="AP11" i="11"/>
  <c r="J28" i="10"/>
  <c r="L28" i="10" s="1"/>
  <c r="C31" i="2"/>
  <c r="AB31" i="21"/>
  <c r="V31" i="20"/>
  <c r="AN31" i="20"/>
  <c r="BE30" i="19"/>
  <c r="P23" i="17"/>
  <c r="P31" i="17" s="1"/>
  <c r="BE30" i="13"/>
  <c r="Q23" i="17"/>
  <c r="Q31" i="17" s="1"/>
  <c r="N26" i="11"/>
  <c r="Q26" i="11" s="1"/>
  <c r="J22" i="10"/>
  <c r="L22" i="10" s="1"/>
  <c r="J21" i="10"/>
  <c r="L21" i="10" s="1"/>
  <c r="J19" i="10"/>
  <c r="L19" i="10" s="1"/>
  <c r="J17" i="10"/>
  <c r="L17" i="10" s="1"/>
  <c r="AW26" i="21"/>
  <c r="D26" i="12"/>
  <c r="BD19" i="8"/>
  <c r="H19" i="7" s="1"/>
  <c r="BE18" i="8"/>
  <c r="I18" i="7" s="1"/>
  <c r="AT31" i="8"/>
  <c r="P12" i="11"/>
  <c r="AP19" i="11"/>
  <c r="AV23" i="11"/>
  <c r="AV26" i="11" s="1"/>
  <c r="J12" i="10"/>
  <c r="L12" i="10" s="1"/>
  <c r="J18" i="10"/>
  <c r="L18" i="10" s="1"/>
  <c r="AO29" i="11"/>
  <c r="AB33" i="21"/>
  <c r="H31" i="21"/>
  <c r="AS30" i="21"/>
  <c r="AF31" i="21"/>
  <c r="AT26" i="21"/>
  <c r="M31" i="19"/>
  <c r="AC31" i="19"/>
  <c r="AK31" i="19"/>
  <c r="AS31" i="19"/>
  <c r="AR14" i="20"/>
  <c r="AJ31" i="19"/>
  <c r="Z26" i="16"/>
  <c r="BD31" i="16"/>
  <c r="BF26" i="13"/>
  <c r="BD10" i="13"/>
  <c r="K16" i="12"/>
  <c r="BI23" i="11"/>
  <c r="W31" i="11"/>
  <c r="Q13" i="11"/>
  <c r="J31" i="11"/>
  <c r="H28" i="7"/>
  <c r="AK30" i="11"/>
  <c r="G30" i="11"/>
  <c r="AJ30" i="11"/>
  <c r="AG30" i="11"/>
  <c r="AG26" i="11"/>
  <c r="AE14" i="11"/>
  <c r="AS14" i="11"/>
  <c r="AS23" i="11"/>
  <c r="AP26" i="16"/>
  <c r="AM26" i="17"/>
  <c r="AH26" i="17"/>
  <c r="AS30" i="16"/>
  <c r="BE30" i="16"/>
  <c r="J14" i="16"/>
  <c r="G33" i="21"/>
  <c r="AN31" i="21"/>
  <c r="D30" i="5"/>
  <c r="AH14" i="11"/>
  <c r="AH23" i="11"/>
  <c r="AB31" i="17"/>
  <c r="AT10" i="21"/>
  <c r="C18" i="14"/>
  <c r="K18" i="14" s="1"/>
  <c r="H33" i="12"/>
  <c r="E14" i="12"/>
  <c r="Q20" i="11"/>
  <c r="J11" i="10"/>
  <c r="L11" i="10" s="1"/>
  <c r="J9" i="10"/>
  <c r="L9" i="10" s="1"/>
  <c r="E30" i="2"/>
  <c r="B28" i="6"/>
  <c r="H13" i="2"/>
  <c r="AN33" i="21"/>
  <c r="H33" i="21"/>
  <c r="G31" i="21"/>
  <c r="AL33" i="21"/>
  <c r="AE31" i="21"/>
  <c r="K30" i="21"/>
  <c r="AT23" i="21"/>
  <c r="AG14" i="21"/>
  <c r="AG31" i="21" s="1"/>
  <c r="AQ32" i="20"/>
  <c r="AV32" i="20"/>
  <c r="X32" i="20"/>
  <c r="AU32" i="20"/>
  <c r="AF32" i="20"/>
  <c r="AA32" i="20"/>
  <c r="AD32" i="20"/>
  <c r="Y32" i="20"/>
  <c r="AJ32" i="20"/>
  <c r="W32" i="20"/>
  <c r="G30" i="14"/>
  <c r="AE32" i="20"/>
  <c r="AG32" i="20"/>
  <c r="O32" i="20"/>
  <c r="AN32" i="20"/>
  <c r="E32" i="20"/>
  <c r="U17" i="11"/>
  <c r="O12" i="11"/>
  <c r="H32" i="20"/>
  <c r="AK32" i="20"/>
  <c r="Z32" i="20"/>
  <c r="K32" i="20"/>
  <c r="O18" i="11"/>
  <c r="AW32" i="20"/>
  <c r="AQ32" i="21"/>
  <c r="O17" i="11"/>
  <c r="AP32" i="20"/>
  <c r="AH32" i="20"/>
  <c r="G26" i="14"/>
  <c r="U18" i="11"/>
  <c r="R32" i="20"/>
  <c r="AM32" i="20"/>
  <c r="AB32" i="20"/>
  <c r="N32" i="20"/>
  <c r="F32" i="20"/>
  <c r="L32" i="20"/>
  <c r="T32" i="20"/>
  <c r="M32" i="20"/>
  <c r="AI32" i="20"/>
  <c r="U12" i="11"/>
  <c r="G23" i="14"/>
  <c r="P32" i="20"/>
  <c r="O10" i="11"/>
  <c r="U10" i="11"/>
  <c r="S32" i="20"/>
  <c r="T32" i="21"/>
  <c r="J32" i="20"/>
  <c r="W32" i="21"/>
  <c r="C14" i="6" l="1"/>
  <c r="E14" i="6"/>
  <c r="F14" i="2"/>
  <c r="AL14" i="11"/>
  <c r="B14" i="6"/>
  <c r="AH33" i="17"/>
  <c r="AH31" i="17"/>
  <c r="BE14" i="19"/>
  <c r="AP31" i="19"/>
  <c r="Q31" i="19"/>
  <c r="X31" i="19"/>
  <c r="AF31" i="19"/>
  <c r="AN31" i="19"/>
  <c r="AM31" i="19"/>
  <c r="BI31" i="19"/>
  <c r="AY31" i="19"/>
  <c r="AC23" i="20"/>
  <c r="G23" i="20"/>
  <c r="G32" i="20" s="1"/>
  <c r="Y23" i="20"/>
  <c r="AG23" i="20"/>
  <c r="K23" i="20"/>
  <c r="O31" i="20"/>
  <c r="BC31" i="19"/>
  <c r="BF30" i="19"/>
  <c r="AL31" i="19"/>
  <c r="AR31" i="19"/>
  <c r="EL31" i="19"/>
  <c r="AO26" i="20"/>
  <c r="S31" i="19"/>
  <c r="AA31" i="19"/>
  <c r="AI31" i="19"/>
  <c r="BK31" i="19"/>
  <c r="AR26" i="20"/>
  <c r="AO30" i="20"/>
  <c r="CL31" i="19"/>
  <c r="P31" i="20"/>
  <c r="F18" i="20"/>
  <c r="AS18" i="20" s="1"/>
  <c r="AB23" i="20"/>
  <c r="AB31" i="20" s="1"/>
  <c r="AS19" i="20"/>
  <c r="AS20" i="20"/>
  <c r="Z23" i="20"/>
  <c r="Z31" i="20" s="1"/>
  <c r="H23" i="20"/>
  <c r="H31" i="20" s="1"/>
  <c r="L23" i="20"/>
  <c r="L26" i="20" s="1"/>
  <c r="E23" i="20"/>
  <c r="AJ23" i="20"/>
  <c r="AJ31" i="20" s="1"/>
  <c r="AL23" i="20"/>
  <c r="AA23" i="20"/>
  <c r="AQ23" i="20"/>
  <c r="BB33" i="21"/>
  <c r="ER31" i="19"/>
  <c r="T20" i="20"/>
  <c r="J30" i="17"/>
  <c r="AN26" i="16"/>
  <c r="AD14" i="16"/>
  <c r="AD31" i="16" s="1"/>
  <c r="BF31" i="13"/>
  <c r="BG14" i="13"/>
  <c r="BD30" i="13"/>
  <c r="BM31" i="13"/>
  <c r="AD31" i="13"/>
  <c r="AI31" i="13"/>
  <c r="BG13" i="13"/>
  <c r="BE20" i="13"/>
  <c r="BF21" i="13"/>
  <c r="BF29" i="13"/>
  <c r="BE10" i="13"/>
  <c r="AK31" i="13"/>
  <c r="K31" i="13"/>
  <c r="BF20" i="13"/>
  <c r="E33" i="21"/>
  <c r="B31" i="7"/>
  <c r="BT33" i="17"/>
  <c r="BT23" i="16"/>
  <c r="P13" i="11"/>
  <c r="C23" i="6"/>
  <c r="AU26" i="21"/>
  <c r="J10" i="10"/>
  <c r="L10" i="10" s="1"/>
  <c r="C30" i="5"/>
  <c r="D14" i="5"/>
  <c r="G30" i="12"/>
  <c r="BG30" i="16"/>
  <c r="F26" i="7"/>
  <c r="BB26" i="8"/>
  <c r="BE26" i="8" s="1"/>
  <c r="BG22" i="8"/>
  <c r="K22" i="7" s="1"/>
  <c r="BD11" i="8"/>
  <c r="H11" i="7" s="1"/>
  <c r="BG17" i="8"/>
  <c r="K17" i="7" s="1"/>
  <c r="S23" i="11"/>
  <c r="E18" i="6"/>
  <c r="L31" i="11"/>
  <c r="AR14" i="11"/>
  <c r="G14" i="7"/>
  <c r="G23" i="7"/>
  <c r="F23" i="7"/>
  <c r="Q26" i="16"/>
  <c r="AU26" i="16"/>
  <c r="BA26" i="16"/>
  <c r="AZ26" i="16"/>
  <c r="AL26" i="17"/>
  <c r="AT30" i="16"/>
  <c r="AC30" i="16"/>
  <c r="I30" i="16"/>
  <c r="AM30" i="17"/>
  <c r="Q14" i="16"/>
  <c r="AS23" i="16"/>
  <c r="AZ14" i="16"/>
  <c r="EM31" i="8"/>
  <c r="AY33" i="21"/>
  <c r="R23" i="17"/>
  <c r="K26" i="17"/>
  <c r="G26" i="11"/>
  <c r="G23" i="11"/>
  <c r="AQ25" i="11"/>
  <c r="AZ23" i="16"/>
  <c r="AL23" i="17"/>
  <c r="J23" i="16"/>
  <c r="J30" i="16"/>
  <c r="BQ23" i="16"/>
  <c r="BQ26" i="16" s="1"/>
  <c r="F9" i="16"/>
  <c r="BL9" i="16" s="1"/>
  <c r="I30" i="17"/>
  <c r="AQ10" i="17"/>
  <c r="N14" i="21"/>
  <c r="M30" i="2"/>
  <c r="C20" i="14"/>
  <c r="K20" i="14" s="1"/>
  <c r="C25" i="14"/>
  <c r="K25" i="14" s="1"/>
  <c r="F30" i="14"/>
  <c r="D23" i="14"/>
  <c r="D14" i="14"/>
  <c r="D33" i="12"/>
  <c r="F12" i="12"/>
  <c r="AV30" i="11"/>
  <c r="F30" i="11"/>
  <c r="AQ30" i="11" s="1"/>
  <c r="AQ28" i="11"/>
  <c r="P17" i="11"/>
  <c r="Q17" i="11"/>
  <c r="F23" i="11"/>
  <c r="BG23" i="11"/>
  <c r="AA31" i="11"/>
  <c r="P20" i="11"/>
  <c r="AQ17" i="11"/>
  <c r="AB31" i="11"/>
  <c r="N30" i="11"/>
  <c r="Q30" i="11" s="1"/>
  <c r="I31" i="11"/>
  <c r="AE30" i="11"/>
  <c r="AI30" i="11"/>
  <c r="AJ26" i="11"/>
  <c r="AE26" i="11"/>
  <c r="AK26" i="11"/>
  <c r="AP17" i="11"/>
  <c r="Z23" i="11"/>
  <c r="AC9" i="11"/>
  <c r="AC14" i="11" s="1"/>
  <c r="Y14" i="11"/>
  <c r="AC23" i="11"/>
  <c r="F26" i="11"/>
  <c r="B30" i="5"/>
  <c r="D26" i="5"/>
  <c r="C23" i="5"/>
  <c r="B14" i="5"/>
  <c r="D13" i="6"/>
  <c r="J13" i="12" s="1"/>
  <c r="J21" i="7"/>
  <c r="J16" i="10"/>
  <c r="L16" i="10" s="1"/>
  <c r="K31" i="2"/>
  <c r="L19" i="14"/>
  <c r="F30" i="2"/>
  <c r="C17" i="14"/>
  <c r="K17" i="14" s="1"/>
  <c r="F26" i="14"/>
  <c r="AX30" i="11"/>
  <c r="AN31" i="16"/>
  <c r="H26" i="2"/>
  <c r="AU31" i="17"/>
  <c r="Y30" i="11"/>
  <c r="J17" i="7"/>
  <c r="J17" i="12"/>
  <c r="D28" i="6"/>
  <c r="J28" i="12" s="1"/>
  <c r="D30" i="3"/>
  <c r="AN28" i="11"/>
  <c r="F23" i="3"/>
  <c r="G23" i="3" s="1"/>
  <c r="H14" i="3"/>
  <c r="AN23" i="11"/>
  <c r="AL26" i="11"/>
  <c r="E23" i="6"/>
  <c r="AO26" i="11"/>
  <c r="Y31" i="17"/>
  <c r="R31" i="11"/>
  <c r="BE23" i="11"/>
  <c r="F20" i="10"/>
  <c r="J20" i="10"/>
  <c r="L20" i="10" s="1"/>
  <c r="AQ26" i="11"/>
  <c r="BJ23" i="11"/>
  <c r="P16" i="11"/>
  <c r="K12" i="12"/>
  <c r="K31" i="17"/>
  <c r="AJ23" i="11"/>
  <c r="BT26" i="16"/>
  <c r="D23" i="5"/>
  <c r="P18" i="11"/>
  <c r="D25" i="2"/>
  <c r="E25" i="6"/>
  <c r="K25" i="12" s="1"/>
  <c r="AO25" i="11"/>
  <c r="F17" i="2"/>
  <c r="H17" i="2"/>
  <c r="J17" i="2"/>
  <c r="F14" i="3"/>
  <c r="E9" i="3"/>
  <c r="G9" i="3"/>
  <c r="T23" i="16"/>
  <c r="AO23" i="11"/>
  <c r="BK23" i="11"/>
  <c r="W23" i="17"/>
  <c r="X23" i="17" s="1"/>
  <c r="G30" i="2"/>
  <c r="I30" i="2"/>
  <c r="B26" i="5"/>
  <c r="AP30" i="17"/>
  <c r="I30" i="3"/>
  <c r="E30" i="12"/>
  <c r="BF22" i="8"/>
  <c r="J22" i="7" s="1"/>
  <c r="AU23" i="11"/>
  <c r="CK31" i="8"/>
  <c r="AK26" i="16"/>
  <c r="AV26" i="16"/>
  <c r="AU30" i="16"/>
  <c r="AM14" i="16"/>
  <c r="AX23" i="16"/>
  <c r="AY23" i="16"/>
  <c r="L23" i="17"/>
  <c r="G26" i="16"/>
  <c r="BM14" i="16"/>
  <c r="AE14" i="16"/>
  <c r="AE31" i="16" s="1"/>
  <c r="J21" i="12"/>
  <c r="M31" i="11"/>
  <c r="AU30" i="21"/>
  <c r="BH31" i="8"/>
  <c r="Z30" i="11"/>
  <c r="BE26" i="16"/>
  <c r="AJ26" i="17"/>
  <c r="AV30" i="16"/>
  <c r="AF30" i="16"/>
  <c r="AJ30" i="17"/>
  <c r="E30" i="17"/>
  <c r="AF23" i="16"/>
  <c r="AT23" i="16"/>
  <c r="BS23" i="16"/>
  <c r="BS26" i="16" s="1"/>
  <c r="BS30" i="16" s="1"/>
  <c r="K14" i="16"/>
  <c r="K31" i="16" s="1"/>
  <c r="P14" i="21"/>
  <c r="P31" i="21" s="1"/>
  <c r="B26" i="7"/>
  <c r="D25" i="6"/>
  <c r="J25" i="12" s="1"/>
  <c r="BB14" i="8"/>
  <c r="BE14" i="8" s="1"/>
  <c r="AX26" i="16"/>
  <c r="BC26" i="16"/>
  <c r="BC30" i="16"/>
  <c r="AB23" i="16"/>
  <c r="AT14" i="16"/>
  <c r="BC14" i="16"/>
  <c r="AV33" i="17"/>
  <c r="P23" i="16"/>
  <c r="P26" i="16" s="1"/>
  <c r="M23" i="17"/>
  <c r="M31" i="17" s="1"/>
  <c r="H31" i="11"/>
  <c r="G33" i="11"/>
  <c r="I22" i="12"/>
  <c r="K31" i="8"/>
  <c r="F30" i="12"/>
  <c r="F33" i="12" s="1"/>
  <c r="BG11" i="8"/>
  <c r="K11" i="7" s="1"/>
  <c r="BD10" i="8"/>
  <c r="H10" i="7" s="1"/>
  <c r="AQ20" i="11"/>
  <c r="AF31" i="8"/>
  <c r="AG26" i="16"/>
  <c r="AG31" i="16" s="1"/>
  <c r="AA26" i="17"/>
  <c r="AK26" i="17"/>
  <c r="Q30" i="16"/>
  <c r="AC14" i="16"/>
  <c r="AC31" i="16" s="1"/>
  <c r="AE23" i="17"/>
  <c r="H23" i="17"/>
  <c r="H31" i="17" s="1"/>
  <c r="AH14" i="21"/>
  <c r="AH31" i="21" s="1"/>
  <c r="O31" i="21"/>
  <c r="N30" i="2"/>
  <c r="W33" i="11"/>
  <c r="D30" i="7"/>
  <c r="B23" i="5"/>
  <c r="AY26" i="8"/>
  <c r="Y23" i="11"/>
  <c r="AQ21" i="11"/>
  <c r="AW26" i="16"/>
  <c r="G26" i="17"/>
  <c r="E14" i="16"/>
  <c r="F12" i="16"/>
  <c r="K14" i="21"/>
  <c r="K31" i="21" s="1"/>
  <c r="U23" i="16"/>
  <c r="U31" i="16" s="1"/>
  <c r="L14" i="16"/>
  <c r="Y26" i="11"/>
  <c r="AP14" i="11"/>
  <c r="K22" i="12"/>
  <c r="BC14" i="8"/>
  <c r="BF14" i="8" s="1"/>
  <c r="AM30" i="16"/>
  <c r="AK30" i="17"/>
  <c r="G23" i="17"/>
  <c r="AR23" i="17"/>
  <c r="N14" i="16"/>
  <c r="N31" i="16" s="1"/>
  <c r="V14" i="17"/>
  <c r="V31" i="17" s="1"/>
  <c r="AV23" i="16"/>
  <c r="Y31" i="21"/>
  <c r="I26" i="17"/>
  <c r="AP28" i="11"/>
  <c r="AM26" i="16"/>
  <c r="AF26" i="17"/>
  <c r="AB30" i="16"/>
  <c r="AB33" i="16" s="1"/>
  <c r="BL20" i="16"/>
  <c r="AW23" i="16"/>
  <c r="AY14" i="16"/>
  <c r="AY31" i="16" s="1"/>
  <c r="AG23" i="17"/>
  <c r="AG33" i="17" s="1"/>
  <c r="T14" i="21"/>
  <c r="T31" i="21" s="1"/>
  <c r="AI14" i="21"/>
  <c r="AI31" i="21" s="1"/>
  <c r="AO31" i="21"/>
  <c r="AM31" i="21"/>
  <c r="BA33" i="21"/>
  <c r="AK14" i="21"/>
  <c r="AK31" i="21" s="1"/>
  <c r="BF14" i="13"/>
  <c r="BI31" i="13"/>
  <c r="AL31" i="13"/>
  <c r="AZ31" i="13"/>
  <c r="BD31" i="13" s="1"/>
  <c r="M31" i="13"/>
  <c r="BF18" i="13"/>
  <c r="BD26" i="13"/>
  <c r="J31" i="13"/>
  <c r="T31" i="13"/>
  <c r="BF11" i="13"/>
  <c r="BD19" i="13"/>
  <c r="I31" i="13"/>
  <c r="BE13" i="13"/>
  <c r="BG28" i="13"/>
  <c r="BF10" i="13"/>
  <c r="BD23" i="13"/>
  <c r="AF31" i="13"/>
  <c r="P31" i="13"/>
  <c r="Y33" i="20"/>
  <c r="E26" i="20"/>
  <c r="AO33" i="20"/>
  <c r="J31" i="20"/>
  <c r="T17" i="20"/>
  <c r="S23" i="20"/>
  <c r="S31" i="20" s="1"/>
  <c r="AC33" i="20"/>
  <c r="AC31" i="20"/>
  <c r="AW31" i="21"/>
  <c r="AT31" i="20"/>
  <c r="K26" i="20"/>
  <c r="K30" i="20" s="1"/>
  <c r="AE33" i="20"/>
  <c r="AE31" i="20"/>
  <c r="W23" i="20"/>
  <c r="L31" i="19"/>
  <c r="J31" i="19"/>
  <c r="M31" i="20"/>
  <c r="AD23" i="20"/>
  <c r="AD33" i="20" s="1"/>
  <c r="AI23" i="20"/>
  <c r="AG31" i="20"/>
  <c r="F17" i="20"/>
  <c r="N31" i="21"/>
  <c r="K31" i="19"/>
  <c r="O31" i="19"/>
  <c r="W31" i="19"/>
  <c r="AE31" i="19"/>
  <c r="BH31" i="19"/>
  <c r="AZ33" i="20"/>
  <c r="AC14" i="21"/>
  <c r="AC33" i="21" s="1"/>
  <c r="Q14" i="21"/>
  <c r="Q31" i="21" s="1"/>
  <c r="BD33" i="21"/>
  <c r="AK31" i="20"/>
  <c r="AF31" i="20"/>
  <c r="AP26" i="20"/>
  <c r="AS14" i="20"/>
  <c r="I23" i="20"/>
  <c r="I31" i="20" s="1"/>
  <c r="BB31" i="21"/>
  <c r="AZ31" i="19"/>
  <c r="AD14" i="21"/>
  <c r="AD31" i="21" s="1"/>
  <c r="Z14" i="21"/>
  <c r="AK33" i="20"/>
  <c r="V14" i="21"/>
  <c r="V31" i="21" s="1"/>
  <c r="BG30" i="19"/>
  <c r="AJ14" i="21"/>
  <c r="F14" i="21"/>
  <c r="F31" i="21" s="1"/>
  <c r="Q31" i="20"/>
  <c r="AL31" i="21"/>
  <c r="CI31" i="19"/>
  <c r="EN31" i="19"/>
  <c r="AM23" i="20"/>
  <c r="AM33" i="20" s="1"/>
  <c r="EQ31" i="19"/>
  <c r="U23" i="20"/>
  <c r="U26" i="20" s="1"/>
  <c r="J33" i="20"/>
  <c r="AU33" i="21"/>
  <c r="AL31" i="20"/>
  <c r="AT12" i="21"/>
  <c r="AI31" i="20"/>
  <c r="AA31" i="20"/>
  <c r="AH31" i="19"/>
  <c r="AH23" i="20"/>
  <c r="AH31" i="20" s="1"/>
  <c r="AO33" i="21"/>
  <c r="AM31" i="20"/>
  <c r="BG23" i="19"/>
  <c r="I14" i="21"/>
  <c r="I31" i="21" s="1"/>
  <c r="EO31" i="19"/>
  <c r="C11" i="14"/>
  <c r="K11" i="14" s="1"/>
  <c r="I25" i="7"/>
  <c r="I25" i="12"/>
  <c r="M31" i="2"/>
  <c r="AB31" i="16"/>
  <c r="AA26" i="21"/>
  <c r="Z30" i="21"/>
  <c r="S14" i="21"/>
  <c r="S31" i="21" s="1"/>
  <c r="J30" i="2"/>
  <c r="AE23" i="11"/>
  <c r="AE31" i="11" s="1"/>
  <c r="AJ14" i="11"/>
  <c r="F23" i="14"/>
  <c r="W31" i="16"/>
  <c r="AP31" i="16"/>
  <c r="AO31" i="16"/>
  <c r="Y31" i="20"/>
  <c r="C26" i="14"/>
  <c r="BE21" i="8"/>
  <c r="I21" i="7" s="1"/>
  <c r="E23" i="14"/>
  <c r="C19" i="14"/>
  <c r="F14" i="14"/>
  <c r="D31" i="2"/>
  <c r="Z30" i="16"/>
  <c r="AA26" i="16"/>
  <c r="N23" i="11"/>
  <c r="Q23" i="11" s="1"/>
  <c r="BG33" i="16"/>
  <c r="J31" i="8"/>
  <c r="C9" i="14"/>
  <c r="F14" i="16"/>
  <c r="AQ9" i="11"/>
  <c r="F14" i="11"/>
  <c r="BC23" i="8"/>
  <c r="BD20" i="8"/>
  <c r="H20" i="7" s="1"/>
  <c r="BG20" i="8"/>
  <c r="AZ23" i="8"/>
  <c r="BE23" i="13"/>
  <c r="BB31" i="13"/>
  <c r="BE31" i="13" s="1"/>
  <c r="AQ17" i="17"/>
  <c r="T31" i="16"/>
  <c r="AW33" i="20"/>
  <c r="BT30" i="16"/>
  <c r="AX31" i="21"/>
  <c r="I26" i="2"/>
  <c r="I31" i="2" s="1"/>
  <c r="AG23" i="11"/>
  <c r="AG33" i="11" s="1"/>
  <c r="AK23" i="11"/>
  <c r="E14" i="14"/>
  <c r="K21" i="7"/>
  <c r="K21" i="12"/>
  <c r="O31" i="16"/>
  <c r="U14" i="17"/>
  <c r="G31" i="20"/>
  <c r="E31" i="2"/>
  <c r="AI31" i="11"/>
  <c r="BT14" i="16"/>
  <c r="BI23" i="16"/>
  <c r="D31" i="12"/>
  <c r="G33" i="20"/>
  <c r="I18" i="12"/>
  <c r="L30" i="20"/>
  <c r="I21" i="12"/>
  <c r="X23" i="20"/>
  <c r="W26" i="20"/>
  <c r="AS26" i="20"/>
  <c r="AY31" i="8"/>
  <c r="BT33" i="20"/>
  <c r="P21" i="11"/>
  <c r="Q21" i="11"/>
  <c r="F23" i="20"/>
  <c r="F33" i="20" s="1"/>
  <c r="AS17" i="20"/>
  <c r="AQ23" i="11"/>
  <c r="P9" i="11"/>
  <c r="Q29" i="11"/>
  <c r="P29" i="11"/>
  <c r="Q10" i="11"/>
  <c r="AO31" i="20"/>
  <c r="AQ31" i="20"/>
  <c r="AU31" i="21"/>
  <c r="AS31" i="21"/>
  <c r="AR31" i="20"/>
  <c r="D11" i="6"/>
  <c r="J11" i="12" s="1"/>
  <c r="E11" i="3"/>
  <c r="BC26" i="8"/>
  <c r="BF26" i="8" s="1"/>
  <c r="J26" i="12" s="1"/>
  <c r="Q12" i="11"/>
  <c r="D23" i="6"/>
  <c r="R16" i="14"/>
  <c r="BH17" i="16"/>
  <c r="AO27" i="17"/>
  <c r="AM18" i="11"/>
  <c r="BH17" i="11"/>
  <c r="BH23" i="11" s="1"/>
  <c r="BH13" i="11"/>
  <c r="BF18" i="11"/>
  <c r="BH11" i="11"/>
  <c r="BG28" i="11"/>
  <c r="AP20" i="20"/>
  <c r="S26" i="11"/>
  <c r="J29" i="7"/>
  <c r="H29" i="7"/>
  <c r="E29" i="6"/>
  <c r="K29" i="12" s="1"/>
  <c r="L29" i="14"/>
  <c r="D29" i="6"/>
  <c r="J29" i="12" s="1"/>
  <c r="I29" i="7"/>
  <c r="AV26" i="21"/>
  <c r="AR26" i="11"/>
  <c r="P31" i="8"/>
  <c r="BM26" i="16"/>
  <c r="X31" i="21"/>
  <c r="H23" i="2"/>
  <c r="AO11" i="17"/>
  <c r="X28" i="17"/>
  <c r="AA21" i="16"/>
  <c r="T10" i="11"/>
  <c r="AQ23" i="21"/>
  <c r="AM29" i="11"/>
  <c r="AM10" i="11"/>
  <c r="T23" i="11"/>
  <c r="BH13" i="16"/>
  <c r="BF11" i="11"/>
  <c r="BL22" i="11"/>
  <c r="BF13" i="11"/>
  <c r="BH12" i="11"/>
  <c r="V19" i="11"/>
  <c r="BG29" i="11"/>
  <c r="BI9" i="11"/>
  <c r="BJ28" i="11"/>
  <c r="E30" i="3"/>
  <c r="L28" i="14"/>
  <c r="E30" i="7"/>
  <c r="BA31" i="19"/>
  <c r="BG31" i="19" s="1"/>
  <c r="BD14" i="19"/>
  <c r="BF14" i="19"/>
  <c r="AD31" i="8"/>
  <c r="V31" i="8"/>
  <c r="X31" i="11"/>
  <c r="C28" i="6"/>
  <c r="I28" i="12" s="1"/>
  <c r="AI33" i="11"/>
  <c r="J26" i="21"/>
  <c r="J30" i="21" s="1"/>
  <c r="AN26" i="11"/>
  <c r="E26" i="6"/>
  <c r="U17" i="21"/>
  <c r="U23" i="21" s="1"/>
  <c r="V20" i="20"/>
  <c r="V22" i="16"/>
  <c r="U28" i="17"/>
  <c r="V18" i="20"/>
  <c r="U25" i="17"/>
  <c r="U30" i="17" s="1"/>
  <c r="U22" i="17"/>
  <c r="V26" i="20"/>
  <c r="V17" i="20"/>
  <c r="U16" i="17"/>
  <c r="U23" i="17" s="1"/>
  <c r="AA13" i="16"/>
  <c r="AA19" i="16"/>
  <c r="X18" i="16"/>
  <c r="V28" i="16"/>
  <c r="R20" i="14"/>
  <c r="AA10" i="21"/>
  <c r="AN30" i="11"/>
  <c r="B31" i="5"/>
  <c r="J28" i="2"/>
  <c r="D14" i="3"/>
  <c r="N31" i="8"/>
  <c r="G31" i="7" s="1"/>
  <c r="G30" i="7"/>
  <c r="BG13" i="8"/>
  <c r="K13" i="7" s="1"/>
  <c r="BD13" i="8"/>
  <c r="H13" i="7" s="1"/>
  <c r="AM23" i="11"/>
  <c r="B26" i="6"/>
  <c r="AP31" i="20"/>
  <c r="BG12" i="11"/>
  <c r="BG14" i="11" s="1"/>
  <c r="BL19" i="11"/>
  <c r="BF28" i="11"/>
  <c r="S12" i="17"/>
  <c r="AH31" i="11"/>
  <c r="AO23" i="17"/>
  <c r="AM28" i="11"/>
  <c r="BL28" i="11"/>
  <c r="Q28" i="11" s="1"/>
  <c r="AQ30" i="21"/>
  <c r="BH29" i="16"/>
  <c r="BI13" i="11"/>
  <c r="X29" i="17"/>
  <c r="AP12" i="21"/>
  <c r="BL11" i="11"/>
  <c r="BL10" i="11"/>
  <c r="BE9" i="11"/>
  <c r="AP19" i="20"/>
  <c r="V17" i="16"/>
  <c r="AN30" i="17"/>
  <c r="AN33" i="17" s="1"/>
  <c r="G31" i="11"/>
  <c r="AN31" i="17"/>
  <c r="H22" i="2"/>
  <c r="F22" i="2"/>
  <c r="J11" i="2"/>
  <c r="F11" i="2"/>
  <c r="S25" i="14"/>
  <c r="V25" i="14" s="1"/>
  <c r="C28" i="14"/>
  <c r="K28" i="14" s="1"/>
  <c r="AS26" i="11"/>
  <c r="BE17" i="8"/>
  <c r="I17" i="7" s="1"/>
  <c r="BB23" i="8"/>
  <c r="BG26" i="13"/>
  <c r="BD30" i="19"/>
  <c r="AK14" i="11"/>
  <c r="F30" i="7"/>
  <c r="BA23" i="8"/>
  <c r="U29" i="17"/>
  <c r="I33" i="11"/>
  <c r="J29" i="10"/>
  <c r="L29" i="10" s="1"/>
  <c r="BF26" i="19"/>
  <c r="BE26" i="19"/>
  <c r="BG26" i="19"/>
  <c r="AR26" i="21"/>
  <c r="BJ26" i="16"/>
  <c r="AR31" i="13"/>
  <c r="AJ31" i="13"/>
  <c r="C29" i="14"/>
  <c r="K29" i="14" s="1"/>
  <c r="N23" i="17"/>
  <c r="I9" i="3"/>
  <c r="AZ26" i="8"/>
  <c r="AN31" i="8"/>
  <c r="M23" i="16"/>
  <c r="M26" i="16" s="1"/>
  <c r="BB31" i="16"/>
  <c r="E23" i="17"/>
  <c r="E31" i="17" s="1"/>
  <c r="AH31" i="13"/>
  <c r="R31" i="13"/>
  <c r="AP31" i="13"/>
  <c r="R9" i="14"/>
  <c r="R21" i="14"/>
  <c r="BG14" i="19"/>
  <c r="BF10" i="8"/>
  <c r="J10" i="7" s="1"/>
  <c r="AZ14" i="8"/>
  <c r="AG31" i="13"/>
  <c r="S22" i="14"/>
  <c r="V22" i="14" s="1"/>
  <c r="BF19" i="13"/>
  <c r="BF23" i="16"/>
  <c r="BF33" i="16" s="1"/>
  <c r="C26" i="5"/>
  <c r="C31" i="5" s="1"/>
  <c r="BA30" i="8"/>
  <c r="BG28" i="8"/>
  <c r="BE20" i="8"/>
  <c r="K18" i="12"/>
  <c r="AY23" i="13"/>
  <c r="BG18" i="13"/>
  <c r="R14" i="17"/>
  <c r="CL31" i="8"/>
  <c r="G11" i="12"/>
  <c r="CJ31" i="8"/>
  <c r="AP23" i="17"/>
  <c r="AP33" i="17" s="1"/>
  <c r="F23" i="17"/>
  <c r="N26" i="20"/>
  <c r="N31" i="20" s="1"/>
  <c r="CP31" i="8"/>
  <c r="J14" i="21"/>
  <c r="J18" i="2"/>
  <c r="AD30" i="11"/>
  <c r="AT26" i="16"/>
  <c r="E23" i="16"/>
  <c r="E26" i="16" s="1"/>
  <c r="M14" i="16"/>
  <c r="AA22" i="16"/>
  <c r="R23" i="16"/>
  <c r="AA12" i="16"/>
  <c r="AK31" i="16"/>
  <c r="AD31" i="17"/>
  <c r="AW14" i="16"/>
  <c r="AW31" i="16" s="1"/>
  <c r="BR14" i="16"/>
  <c r="T21" i="20"/>
  <c r="AD23" i="11"/>
  <c r="AQ26" i="16"/>
  <c r="AQ31" i="16" s="1"/>
  <c r="Q23" i="16"/>
  <c r="Q31" i="16" s="1"/>
  <c r="AA23" i="17"/>
  <c r="AA31" i="17" s="1"/>
  <c r="AU14" i="16"/>
  <c r="AU23" i="16"/>
  <c r="BC23" i="16"/>
  <c r="BE23" i="16"/>
  <c r="BE31" i="16" s="1"/>
  <c r="AF26" i="16"/>
  <c r="AF31" i="16" s="1"/>
  <c r="AS26" i="16"/>
  <c r="AI26" i="17"/>
  <c r="AI31" i="17" s="1"/>
  <c r="BK30" i="16"/>
  <c r="BK31" i="16" s="1"/>
  <c r="AF30" i="17"/>
  <c r="AM23" i="16"/>
  <c r="AM31" i="16" s="1"/>
  <c r="G30" i="17"/>
  <c r="BO23" i="16"/>
  <c r="BO31" i="16" s="1"/>
  <c r="E23" i="11"/>
  <c r="AF30" i="11"/>
  <c r="AF31" i="11" s="1"/>
  <c r="I23" i="16"/>
  <c r="BJ23" i="16"/>
  <c r="N31" i="2"/>
  <c r="AE30" i="17"/>
  <c r="AE31" i="17" s="1"/>
  <c r="BS14" i="16"/>
  <c r="AM23" i="17"/>
  <c r="AS23" i="17"/>
  <c r="AS31" i="17" s="1"/>
  <c r="Z23" i="17"/>
  <c r="Z31" i="17" s="1"/>
  <c r="BL10" i="16"/>
  <c r="F9" i="17"/>
  <c r="EM31" i="19"/>
  <c r="AR23" i="20"/>
  <c r="V19" i="20"/>
  <c r="T22" i="20"/>
  <c r="X10" i="16"/>
  <c r="X28" i="16"/>
  <c r="BD25" i="13"/>
  <c r="L31" i="17"/>
  <c r="J26" i="17"/>
  <c r="J33" i="17" s="1"/>
  <c r="AH31" i="16"/>
  <c r="I14" i="17"/>
  <c r="U21" i="17"/>
  <c r="V21" i="20"/>
  <c r="X29" i="16"/>
  <c r="BF12" i="13"/>
  <c r="BM28" i="16"/>
  <c r="G23" i="16"/>
  <c r="G31" i="16" s="1"/>
  <c r="AX14" i="16"/>
  <c r="AX31" i="16" s="1"/>
  <c r="BP14" i="16"/>
  <c r="BP23" i="16"/>
  <c r="BP26" i="16" s="1"/>
  <c r="BR23" i="16"/>
  <c r="BR26" i="16" s="1"/>
  <c r="BR30" i="16" s="1"/>
  <c r="AF23" i="17"/>
  <c r="Z14" i="16"/>
  <c r="S29" i="17"/>
  <c r="U20" i="17"/>
  <c r="V29" i="16"/>
  <c r="V22" i="20"/>
  <c r="X11" i="16"/>
  <c r="N30" i="17"/>
  <c r="U26" i="17"/>
  <c r="J26" i="16"/>
  <c r="U11" i="17"/>
  <c r="U19" i="17"/>
  <c r="W31" i="21"/>
  <c r="R26" i="17"/>
  <c r="R14" i="16"/>
  <c r="BL12" i="16"/>
  <c r="AR14" i="17"/>
  <c r="Y31" i="11"/>
  <c r="U18" i="17"/>
  <c r="U12" i="21"/>
  <c r="AL30" i="17"/>
  <c r="BL21" i="16"/>
  <c r="F12" i="17"/>
  <c r="AQ12" i="17" s="1"/>
  <c r="AI14" i="16"/>
  <c r="AI31" i="16" s="1"/>
  <c r="I23" i="17"/>
  <c r="L23" i="16"/>
  <c r="U17" i="17"/>
  <c r="X26" i="16"/>
  <c r="AX23" i="20"/>
  <c r="AX31" i="20" s="1"/>
  <c r="Y14" i="16"/>
  <c r="V18" i="11"/>
  <c r="O23" i="11"/>
  <c r="AS32" i="20"/>
  <c r="H14" i="14"/>
  <c r="AD14" i="14"/>
  <c r="Z14" i="14"/>
  <c r="M14" i="14"/>
  <c r="S14" i="14"/>
  <c r="V14" i="14"/>
  <c r="R14" i="14"/>
  <c r="Y14" i="14"/>
  <c r="AA14" i="14"/>
  <c r="W14" i="14"/>
  <c r="P14" i="14"/>
  <c r="Q14" i="14"/>
  <c r="X14" i="14"/>
  <c r="AC14" i="14"/>
  <c r="AB14" i="14"/>
  <c r="V17" i="11"/>
  <c r="U23" i="11"/>
  <c r="AA23" i="14"/>
  <c r="V23" i="14"/>
  <c r="W23" i="14"/>
  <c r="H23" i="14"/>
  <c r="Z23" i="14"/>
  <c r="X23" i="14"/>
  <c r="AD23" i="14"/>
  <c r="Q23" i="14"/>
  <c r="P23" i="14"/>
  <c r="Y23" i="14"/>
  <c r="AC23" i="14"/>
  <c r="AB23" i="14"/>
  <c r="R23" i="14"/>
  <c r="M23" i="14"/>
  <c r="U33" i="11"/>
  <c r="U14" i="11"/>
  <c r="V14" i="11" s="1"/>
  <c r="U31" i="11"/>
  <c r="V31" i="11" s="1"/>
  <c r="V10" i="11"/>
  <c r="V12" i="11"/>
  <c r="W26" i="14"/>
  <c r="M26" i="14"/>
  <c r="AA26" i="14"/>
  <c r="S26" i="14"/>
  <c r="Z26" i="14"/>
  <c r="R26" i="14"/>
  <c r="V26" i="14"/>
  <c r="P26" i="14"/>
  <c r="Y26" i="14"/>
  <c r="X26" i="14"/>
  <c r="AC26" i="14"/>
  <c r="AB26" i="14"/>
  <c r="AD26" i="14"/>
  <c r="Q26" i="14"/>
  <c r="H26" i="14"/>
  <c r="W30" i="14"/>
  <c r="V30" i="14"/>
  <c r="AA30" i="14"/>
  <c r="AB30" i="14"/>
  <c r="AC30" i="14"/>
  <c r="Q30" i="14"/>
  <c r="Y30" i="14"/>
  <c r="X30" i="14"/>
  <c r="Z30" i="14"/>
  <c r="H30" i="14"/>
  <c r="R30" i="14"/>
  <c r="AD30" i="14"/>
  <c r="S30" i="14"/>
  <c r="M30" i="14"/>
  <c r="P30" i="14"/>
  <c r="O14" i="11"/>
  <c r="O31" i="11"/>
  <c r="AL32" i="20"/>
  <c r="AC32" i="20"/>
  <c r="AO32" i="20"/>
  <c r="S23" i="14" l="1"/>
  <c r="E31" i="14"/>
  <c r="D31" i="14"/>
  <c r="D31" i="5"/>
  <c r="G32" i="11"/>
  <c r="AJ33" i="11"/>
  <c r="V26" i="16"/>
  <c r="E33" i="12"/>
  <c r="BJ31" i="11"/>
  <c r="BE23" i="8"/>
  <c r="I23" i="7" s="1"/>
  <c r="AC31" i="11"/>
  <c r="AR31" i="16"/>
  <c r="AX33" i="21"/>
  <c r="AK31" i="11"/>
  <c r="Z31" i="11"/>
  <c r="E31" i="21"/>
  <c r="H32" i="21"/>
  <c r="L32" i="21"/>
  <c r="AQ31" i="21" l="1"/>
  <c r="AJ33" i="17"/>
  <c r="AK31" i="17"/>
  <c r="F23" i="16"/>
  <c r="F33" i="16" s="1"/>
  <c r="BA31" i="16"/>
  <c r="BA33" i="16"/>
  <c r="BQ30" i="16"/>
  <c r="AZ31" i="16"/>
  <c r="K17" i="12"/>
  <c r="F31" i="14"/>
  <c r="AV31" i="11"/>
  <c r="P28" i="11"/>
  <c r="BH14" i="11"/>
  <c r="AG31" i="11"/>
  <c r="L32" i="11"/>
  <c r="BG32" i="16"/>
  <c r="AK32" i="11"/>
  <c r="AS32" i="21"/>
  <c r="K32" i="16"/>
  <c r="Z32" i="17"/>
  <c r="AL32" i="16"/>
  <c r="X32" i="21"/>
  <c r="AV32" i="16"/>
  <c r="I32" i="11"/>
  <c r="AB32" i="11"/>
  <c r="H32" i="16"/>
  <c r="U32" i="20"/>
  <c r="F32" i="17"/>
  <c r="AT32" i="16"/>
  <c r="AM32" i="17"/>
  <c r="J32" i="11"/>
  <c r="AV32" i="11"/>
  <c r="AU32" i="16"/>
  <c r="AU32" i="17"/>
  <c r="O32" i="17"/>
  <c r="AC32" i="16"/>
  <c r="H32" i="11"/>
  <c r="AH32" i="11"/>
  <c r="AE32" i="11"/>
  <c r="R32" i="11"/>
  <c r="AA32" i="11"/>
  <c r="J32" i="17"/>
  <c r="L32" i="17"/>
  <c r="AW32" i="21"/>
  <c r="T32" i="11"/>
  <c r="N32" i="17"/>
  <c r="AN32" i="21"/>
  <c r="S32" i="17"/>
  <c r="S32" i="21"/>
  <c r="AQ32" i="16"/>
  <c r="AZ32" i="16"/>
  <c r="BE32" i="16"/>
  <c r="AJ32" i="21"/>
  <c r="AI32" i="11"/>
  <c r="R32" i="21"/>
  <c r="P32" i="11"/>
  <c r="X32" i="11"/>
  <c r="AH32" i="17"/>
  <c r="Z32" i="21"/>
  <c r="Z32" i="16"/>
  <c r="I32" i="16"/>
  <c r="W32" i="17"/>
  <c r="AO32" i="21"/>
  <c r="I32" i="21"/>
  <c r="E32" i="17"/>
  <c r="M32" i="21"/>
  <c r="AD32" i="21"/>
  <c r="M32" i="17"/>
  <c r="K32" i="21"/>
  <c r="AR32" i="21"/>
  <c r="J32" i="21"/>
  <c r="AR32" i="20"/>
  <c r="O32" i="16"/>
  <c r="W32" i="16"/>
  <c r="V32" i="11"/>
  <c r="AP32" i="21"/>
  <c r="AN32" i="17"/>
  <c r="N32" i="21"/>
  <c r="I32" i="12"/>
  <c r="AD32" i="16"/>
  <c r="U32" i="16"/>
  <c r="AI32" i="17"/>
  <c r="AJ32" i="16"/>
  <c r="E32" i="16"/>
  <c r="K32" i="17"/>
  <c r="BB32" i="21"/>
  <c r="AH32" i="16"/>
  <c r="AC32" i="21"/>
  <c r="BP32" i="16"/>
  <c r="AE32" i="17"/>
  <c r="BN32" i="16"/>
  <c r="AV32" i="21"/>
  <c r="V32" i="21"/>
  <c r="P32" i="17"/>
  <c r="AE32" i="21"/>
  <c r="N32" i="16"/>
  <c r="D32" i="12"/>
  <c r="AG32" i="21"/>
  <c r="AY32" i="11"/>
  <c r="AK32" i="17"/>
  <c r="AR32" i="11"/>
  <c r="AU32" i="21"/>
  <c r="BI32" i="16"/>
  <c r="AX32" i="21"/>
  <c r="Y32" i="16"/>
  <c r="P32" i="16"/>
  <c r="BH32" i="16"/>
  <c r="AS32" i="17"/>
  <c r="Q32" i="21"/>
  <c r="AL32" i="11"/>
  <c r="AD32" i="17"/>
  <c r="AF32" i="11"/>
  <c r="AN32" i="16"/>
  <c r="E32" i="21"/>
  <c r="BO32" i="16"/>
  <c r="AW32" i="16"/>
  <c r="AG32" i="16"/>
  <c r="AO32" i="17"/>
  <c r="AM32" i="21"/>
  <c r="R32" i="17"/>
  <c r="AF32" i="17"/>
  <c r="AH32" i="21"/>
  <c r="AC32" i="17"/>
  <c r="AL32" i="17"/>
  <c r="AD32" i="11"/>
  <c r="F32" i="12"/>
  <c r="Z32" i="11"/>
  <c r="AN32" i="11"/>
  <c r="S32" i="16"/>
  <c r="AS32" i="11"/>
  <c r="AF32" i="21"/>
  <c r="F32" i="16"/>
  <c r="M32" i="11"/>
  <c r="BB32" i="16"/>
  <c r="F32" i="11"/>
  <c r="AP32" i="16"/>
  <c r="AC32" i="11"/>
  <c r="AM32" i="11"/>
  <c r="AR32" i="17"/>
  <c r="AA32" i="17"/>
  <c r="U32" i="17"/>
  <c r="V32" i="20"/>
  <c r="V32" i="17"/>
  <c r="X32" i="17"/>
  <c r="BQ32" i="16"/>
  <c r="K32" i="12"/>
  <c r="R32" i="16"/>
  <c r="Y32" i="17"/>
  <c r="BC32" i="21"/>
  <c r="AA32" i="16"/>
  <c r="O32" i="21"/>
  <c r="U32" i="21"/>
  <c r="AF32" i="16"/>
  <c r="AK32" i="16"/>
  <c r="AL32" i="21"/>
  <c r="N32" i="11"/>
  <c r="AJ32" i="17"/>
  <c r="L32" i="16"/>
  <c r="H32" i="17"/>
  <c r="AB32" i="21"/>
  <c r="AG32" i="11"/>
  <c r="BF32" i="16"/>
  <c r="T32" i="17"/>
  <c r="S32" i="11"/>
  <c r="AY32" i="16"/>
  <c r="AM32" i="16"/>
  <c r="AO32" i="11"/>
  <c r="E32" i="11"/>
  <c r="J32" i="16"/>
  <c r="BA32" i="16"/>
  <c r="AT32" i="20"/>
  <c r="BM32" i="16"/>
  <c r="Y32" i="21"/>
  <c r="AE32" i="16"/>
  <c r="AX32" i="16"/>
  <c r="E32" i="12"/>
  <c r="T32" i="16"/>
  <c r="Q32" i="16"/>
  <c r="AI32" i="16"/>
  <c r="AT32" i="17"/>
  <c r="AR32" i="16"/>
  <c r="BD32" i="16"/>
  <c r="AO32" i="16"/>
  <c r="X32" i="16"/>
  <c r="AA32" i="21"/>
  <c r="G32" i="12"/>
  <c r="AI32" i="21"/>
  <c r="AT32" i="11"/>
  <c r="AS32" i="16"/>
  <c r="BJ32" i="16"/>
  <c r="AU32" i="11"/>
  <c r="O32" i="11"/>
  <c r="I32" i="17"/>
  <c r="AV32" i="17"/>
  <c r="W32" i="11"/>
  <c r="AB32" i="17"/>
  <c r="J32" i="12"/>
  <c r="AJ32" i="11"/>
  <c r="Y32" i="11"/>
  <c r="V32" i="16"/>
  <c r="AB32" i="16"/>
  <c r="AX32" i="11"/>
  <c r="P32" i="21"/>
  <c r="BD32" i="21"/>
  <c r="Q32" i="17"/>
  <c r="H32" i="12"/>
  <c r="Q32" i="11"/>
  <c r="AK32" i="21"/>
  <c r="AG32" i="17"/>
  <c r="F32" i="21"/>
  <c r="BC32" i="16"/>
  <c r="AP32" i="17"/>
  <c r="M32" i="16"/>
  <c r="K32" i="11"/>
  <c r="BK32" i="16"/>
  <c r="AV33" i="11" l="1"/>
  <c r="BQ31" i="16"/>
  <c r="AT32" i="21"/>
  <c r="BL32" i="16"/>
  <c r="AQ32" i="11"/>
  <c r="AQ32" i="17"/>
  <c r="AP32" i="11"/>
  <c r="AX31" i="11"/>
  <c r="H30" i="2"/>
  <c r="AL30" i="11"/>
  <c r="AL33" i="11" s="1"/>
  <c r="G31" i="2"/>
  <c r="C31" i="6" s="1"/>
  <c r="B30" i="6"/>
  <c r="Y31" i="16"/>
  <c r="I23" i="12"/>
  <c r="BE33" i="16"/>
  <c r="I33" i="21"/>
  <c r="AP31" i="21"/>
  <c r="D31" i="7"/>
  <c r="AO31" i="17"/>
  <c r="F31" i="12"/>
  <c r="BH31" i="16"/>
  <c r="P31" i="16"/>
  <c r="AG31" i="17"/>
  <c r="AP33" i="21"/>
  <c r="S14" i="17"/>
  <c r="AO30" i="11"/>
  <c r="AO33" i="11" s="1"/>
  <c r="AV31" i="16"/>
  <c r="J22" i="12"/>
  <c r="AQ33" i="21"/>
  <c r="AJ31" i="17"/>
  <c r="B31" i="2"/>
  <c r="J31" i="2" s="1"/>
  <c r="B31" i="3"/>
  <c r="W26" i="17"/>
  <c r="S30" i="17"/>
  <c r="AD31" i="11"/>
  <c r="J26" i="7"/>
  <c r="AP23" i="11"/>
  <c r="AU26" i="11"/>
  <c r="G33" i="16"/>
  <c r="G14" i="3"/>
  <c r="F31" i="3"/>
  <c r="G31" i="3" s="1"/>
  <c r="I17" i="12"/>
  <c r="C30" i="14"/>
  <c r="E30" i="6"/>
  <c r="E31" i="6"/>
  <c r="AM30" i="11"/>
  <c r="I14" i="3"/>
  <c r="H31" i="3"/>
  <c r="K11" i="12"/>
  <c r="D30" i="6"/>
  <c r="T31" i="17"/>
  <c r="C30" i="6"/>
  <c r="AS30" i="20"/>
  <c r="AR30" i="20" s="1"/>
  <c r="AP33" i="20"/>
  <c r="AC31" i="21"/>
  <c r="F33" i="21"/>
  <c r="U30" i="20"/>
  <c r="AJ31" i="21"/>
  <c r="AJ33" i="21"/>
  <c r="I33" i="20"/>
  <c r="AD31" i="20"/>
  <c r="E30" i="20"/>
  <c r="E30" i="16"/>
  <c r="L26" i="16"/>
  <c r="L30" i="16" s="1"/>
  <c r="BL30" i="16" s="1"/>
  <c r="BJ30" i="16" s="1"/>
  <c r="K28" i="7"/>
  <c r="K28" i="12"/>
  <c r="BF14" i="11"/>
  <c r="E31" i="12"/>
  <c r="BG31" i="16"/>
  <c r="C31" i="7"/>
  <c r="BI31" i="16"/>
  <c r="AF31" i="17"/>
  <c r="AF33" i="17"/>
  <c r="AM33" i="17"/>
  <c r="AM31" i="17"/>
  <c r="T23" i="20"/>
  <c r="T31" i="20" s="1"/>
  <c r="BG26" i="8"/>
  <c r="K26" i="7" s="1"/>
  <c r="BD26" i="8"/>
  <c r="H26" i="7" s="1"/>
  <c r="BE14" i="11"/>
  <c r="BE31" i="11" s="1"/>
  <c r="V30" i="20"/>
  <c r="AO33" i="17"/>
  <c r="BK14" i="11"/>
  <c r="BK31" i="11" s="1"/>
  <c r="J10" i="12"/>
  <c r="AF33" i="11"/>
  <c r="AM26" i="11"/>
  <c r="J26" i="2"/>
  <c r="C26" i="6"/>
  <c r="I26" i="12" s="1"/>
  <c r="I26" i="7"/>
  <c r="BG31" i="11"/>
  <c r="G14" i="12"/>
  <c r="G33" i="12" s="1"/>
  <c r="AQ14" i="11"/>
  <c r="AQ33" i="11" s="1"/>
  <c r="F31" i="11"/>
  <c r="F33" i="11"/>
  <c r="BL14" i="16"/>
  <c r="F31" i="16"/>
  <c r="K13" i="12"/>
  <c r="AU31" i="16"/>
  <c r="AU33" i="16"/>
  <c r="AL31" i="17"/>
  <c r="AL33" i="17"/>
  <c r="AT33" i="16"/>
  <c r="AT31" i="16"/>
  <c r="P10" i="11"/>
  <c r="BL14" i="11"/>
  <c r="AR31" i="11"/>
  <c r="AV31" i="21"/>
  <c r="AR31" i="17"/>
  <c r="W30" i="20"/>
  <c r="X26" i="20"/>
  <c r="BF31" i="16"/>
  <c r="G32" i="16"/>
  <c r="AT33" i="11"/>
  <c r="BG23" i="8"/>
  <c r="AA30" i="16"/>
  <c r="BB31" i="8"/>
  <c r="AK33" i="11"/>
  <c r="N14" i="11"/>
  <c r="Q14" i="11" s="1"/>
  <c r="AP31" i="17"/>
  <c r="AR31" i="21"/>
  <c r="BJ31" i="16"/>
  <c r="E14" i="3"/>
  <c r="BI14" i="16"/>
  <c r="BI33" i="16" s="1"/>
  <c r="AN14" i="11"/>
  <c r="AN33" i="11" s="1"/>
  <c r="D14" i="6"/>
  <c r="J14" i="12" s="1"/>
  <c r="J14" i="7"/>
  <c r="AQ14" i="20"/>
  <c r="AQ33" i="20" s="1"/>
  <c r="D31" i="3"/>
  <c r="G31" i="12"/>
  <c r="E31" i="7"/>
  <c r="I14" i="7"/>
  <c r="I14" i="12"/>
  <c r="U14" i="21"/>
  <c r="U31" i="21" s="1"/>
  <c r="I33" i="17"/>
  <c r="I31" i="17"/>
  <c r="S26" i="17"/>
  <c r="G32" i="17"/>
  <c r="G31" i="17"/>
  <c r="G33" i="17"/>
  <c r="R31" i="17"/>
  <c r="I20" i="7"/>
  <c r="I20" i="12"/>
  <c r="AZ31" i="8"/>
  <c r="BD14" i="8"/>
  <c r="H14" i="7" s="1"/>
  <c r="BG14" i="8"/>
  <c r="M30" i="16"/>
  <c r="BA31" i="8"/>
  <c r="BD23" i="8"/>
  <c r="H23" i="7" s="1"/>
  <c r="V23" i="16"/>
  <c r="Q11" i="11"/>
  <c r="P11" i="11"/>
  <c r="P19" i="11"/>
  <c r="BL23" i="11"/>
  <c r="BL31" i="11" s="1"/>
  <c r="V30" i="16"/>
  <c r="BH33" i="16"/>
  <c r="T26" i="11"/>
  <c r="S30" i="11"/>
  <c r="AT31" i="11"/>
  <c r="AS23" i="20"/>
  <c r="AQ23" i="17"/>
  <c r="K20" i="7"/>
  <c r="K20" i="12"/>
  <c r="AJ31" i="11"/>
  <c r="AW31" i="20"/>
  <c r="BI14" i="11"/>
  <c r="BI31" i="11" s="1"/>
  <c r="AS33" i="16"/>
  <c r="AS31" i="16"/>
  <c r="BP30" i="16"/>
  <c r="BD30" i="8"/>
  <c r="H30" i="7" s="1"/>
  <c r="BE30" i="8"/>
  <c r="I30" i="7" s="1"/>
  <c r="K26" i="12"/>
  <c r="BD31" i="19"/>
  <c r="BF31" i="19"/>
  <c r="P22" i="11"/>
  <c r="Q22" i="11"/>
  <c r="Q19" i="11"/>
  <c r="K31" i="11"/>
  <c r="E26" i="11"/>
  <c r="V14" i="16"/>
  <c r="BF30" i="8"/>
  <c r="J30" i="7" s="1"/>
  <c r="BS33" i="16"/>
  <c r="BS31" i="16"/>
  <c r="F14" i="17"/>
  <c r="F33" i="17" s="1"/>
  <c r="AQ9" i="17"/>
  <c r="AQ14" i="17" s="1"/>
  <c r="I31" i="16"/>
  <c r="I33" i="16"/>
  <c r="BL23" i="16"/>
  <c r="BC33" i="16"/>
  <c r="BC31" i="16"/>
  <c r="AY31" i="13"/>
  <c r="BG31" i="13" s="1"/>
  <c r="BG23" i="13"/>
  <c r="N31" i="17"/>
  <c r="AA14" i="21"/>
  <c r="F31" i="20"/>
  <c r="L31" i="20"/>
  <c r="J31" i="17"/>
  <c r="BF23" i="8"/>
  <c r="J23" i="7" s="1"/>
  <c r="BH31" i="11"/>
  <c r="C14" i="14"/>
  <c r="BE31" i="19"/>
  <c r="AE33" i="11"/>
  <c r="AA30" i="21"/>
  <c r="Q18" i="11"/>
  <c r="BF23" i="11"/>
  <c r="R31" i="16"/>
  <c r="BM31" i="16" s="1"/>
  <c r="J31" i="16"/>
  <c r="J33" i="16"/>
  <c r="AA14" i="16"/>
  <c r="AT14" i="21"/>
  <c r="AT33" i="21" s="1"/>
  <c r="AR33" i="21" s="1"/>
  <c r="S23" i="17"/>
  <c r="S31" i="17" s="1"/>
  <c r="AS30" i="11"/>
  <c r="BG30" i="8"/>
  <c r="K30" i="7" s="1"/>
  <c r="B31" i="6"/>
  <c r="F31" i="2"/>
  <c r="BC31" i="8"/>
  <c r="K9" i="14"/>
  <c r="C23" i="14"/>
  <c r="K19" i="14"/>
  <c r="Y31" i="14"/>
  <c r="AB31" i="14"/>
  <c r="R31" i="14"/>
  <c r="AC31" i="14"/>
  <c r="V31" i="14"/>
  <c r="X31" i="14"/>
  <c r="S31" i="14"/>
  <c r="M31" i="14"/>
  <c r="Z31" i="14"/>
  <c r="W31" i="14"/>
  <c r="AD31" i="14"/>
  <c r="V23" i="11"/>
  <c r="U26" i="11"/>
  <c r="AA31" i="14"/>
  <c r="H31" i="14"/>
  <c r="U32" i="11"/>
  <c r="AM31" i="11" l="1"/>
  <c r="AO31" i="11"/>
  <c r="AL31" i="11"/>
  <c r="V31" i="16"/>
  <c r="BF31" i="11"/>
  <c r="BT31" i="16"/>
  <c r="BT33" i="16"/>
  <c r="BG31" i="8"/>
  <c r="K31" i="7" s="1"/>
  <c r="AS33" i="20"/>
  <c r="AR33" i="20" s="1"/>
  <c r="F31" i="17"/>
  <c r="AQ31" i="17" s="1"/>
  <c r="BD31" i="8"/>
  <c r="H31" i="2"/>
  <c r="I31" i="3"/>
  <c r="C31" i="14"/>
  <c r="J30" i="12"/>
  <c r="X26" i="17"/>
  <c r="W30" i="17"/>
  <c r="BF31" i="8"/>
  <c r="Z31" i="21"/>
  <c r="H31" i="7"/>
  <c r="M31" i="16"/>
  <c r="AM33" i="11"/>
  <c r="AP26" i="11"/>
  <c r="AU30" i="11"/>
  <c r="U31" i="20"/>
  <c r="K31" i="20"/>
  <c r="AS31" i="20" s="1"/>
  <c r="BR33" i="16"/>
  <c r="BR31" i="16"/>
  <c r="AQ31" i="11"/>
  <c r="E31" i="3"/>
  <c r="AN31" i="11"/>
  <c r="D31" i="6"/>
  <c r="J31" i="21"/>
  <c r="AT31" i="21" s="1"/>
  <c r="BE31" i="8"/>
  <c r="I31" i="12" s="1"/>
  <c r="X30" i="20"/>
  <c r="J23" i="12"/>
  <c r="K30" i="12"/>
  <c r="BL26" i="16"/>
  <c r="K14" i="7"/>
  <c r="K14" i="12"/>
  <c r="N31" i="11"/>
  <c r="AA33" i="21"/>
  <c r="Z33" i="21"/>
  <c r="E30" i="11"/>
  <c r="T30" i="11"/>
  <c r="K31" i="12"/>
  <c r="I30" i="12"/>
  <c r="I33" i="12" s="1"/>
  <c r="S31" i="11"/>
  <c r="T31" i="11" s="1"/>
  <c r="K23" i="7"/>
  <c r="K23" i="12"/>
  <c r="E33" i="16"/>
  <c r="V26" i="11"/>
  <c r="U30" i="11"/>
  <c r="W33" i="20" l="1"/>
  <c r="I31" i="7"/>
  <c r="X31" i="20"/>
  <c r="W31" i="20"/>
  <c r="E31" i="20"/>
  <c r="BP33" i="16"/>
  <c r="T33" i="11"/>
  <c r="BP31" i="16"/>
  <c r="BL33" i="16"/>
  <c r="BJ33" i="16" s="1"/>
  <c r="K33" i="12"/>
  <c r="J33" i="12"/>
  <c r="AP30" i="11"/>
  <c r="AA31" i="21"/>
  <c r="X30" i="17"/>
  <c r="AS31" i="11"/>
  <c r="AS33" i="11"/>
  <c r="P31" i="11"/>
  <c r="Q31" i="11"/>
  <c r="X33" i="20"/>
  <c r="E33" i="11"/>
  <c r="S33" i="11"/>
  <c r="E31" i="16"/>
  <c r="Z33" i="16"/>
  <c r="Z31" i="16"/>
  <c r="L31" i="16"/>
  <c r="BL31" i="16" s="1"/>
  <c r="J31" i="7"/>
  <c r="J31" i="12"/>
  <c r="V30" i="11"/>
  <c r="E33" i="20" l="1"/>
  <c r="W31" i="17"/>
  <c r="W33" i="17"/>
  <c r="AU31" i="11"/>
  <c r="AP31" i="11" s="1"/>
  <c r="AA31" i="16"/>
  <c r="AA33" i="16"/>
  <c r="E31" i="11"/>
  <c r="AU33" i="11" l="1"/>
  <c r="AP33" i="11"/>
  <c r="X31" i="17"/>
  <c r="X3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Hernandez Mayor, Jose Manuel</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8" shapeId="0">
      <text>
        <r>
          <rPr>
            <b/>
            <sz val="9"/>
            <color indexed="81"/>
            <rFont val="Tahoma"/>
            <charset val="1"/>
          </rPr>
          <t>No se incluyen los de ejecuciones</t>
        </r>
      </text>
    </comment>
    <comment ref="AP21" authorId="4" shapeId="0">
      <text>
        <r>
          <rPr>
            <b/>
            <sz val="9"/>
            <color indexed="81"/>
            <rFont val="Tahoma"/>
            <family val="2"/>
          </rPr>
          <t>UNICAAPORTACION</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9"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8" shapeId="0">
      <text>
        <r>
          <rPr>
            <b/>
            <sz val="9"/>
            <color indexed="81"/>
            <rFont val="Tahoma"/>
            <charset val="1"/>
          </rPr>
          <t>No se incluyen los de ejecuciones</t>
        </r>
        <r>
          <rPr>
            <sz val="9"/>
            <color indexed="81"/>
            <rFont val="Tahoma"/>
            <charset val="1"/>
          </rPr>
          <t xml:space="preserve">
</t>
        </r>
      </text>
    </comment>
    <comment ref="AP28" authorId="4" shapeId="0">
      <text>
        <r>
          <rPr>
            <b/>
            <sz val="9"/>
            <color indexed="81"/>
            <rFont val="Tahoma"/>
            <family val="2"/>
          </rPr>
          <t>UNICAAPORTACION</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1" shapeId="0">
      <text>
        <r>
          <rPr>
            <b/>
            <sz val="8"/>
            <color indexed="81"/>
            <rFont val="Tahoma"/>
            <family val="2"/>
          </rPr>
          <t>No se incluyen los de ejecuciones en consulta Inspección órganos y jueces</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1" shapeId="0">
      <text>
        <r>
          <rPr>
            <b/>
            <sz val="8"/>
            <color indexed="81"/>
            <rFont val="Tahoma"/>
            <family val="2"/>
          </rPr>
          <t>No se incluyen los de ejecuciones en consulta Inspección órganos y jueces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charset val="1"/>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Q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Q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charset val="1"/>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Q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charset val="1"/>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Q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Q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Q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Q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Q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Q19" authorId="1" shapeId="0">
      <text>
        <r>
          <rPr>
            <b/>
            <sz val="9"/>
            <color indexed="81"/>
            <rFont val="Tahoma"/>
            <family val="2"/>
          </rPr>
          <t>Oculto</t>
        </r>
      </text>
    </comment>
    <comment ref="E20" authorId="1" shapeId="0">
      <text>
        <r>
          <rPr>
            <b/>
            <sz val="9"/>
            <color indexed="81"/>
            <rFont val="Tahoma"/>
            <family val="2"/>
          </rPr>
          <t>Oculto</t>
        </r>
      </text>
    </comment>
    <comment ref="H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S20" authorId="1" shapeId="0">
      <text>
        <r>
          <rPr>
            <b/>
            <sz val="9"/>
            <color indexed="81"/>
            <rFont val="Tahoma"/>
            <family val="2"/>
          </rPr>
          <t>Oculto</t>
        </r>
      </text>
    </comment>
    <comment ref="T20" authorId="1" shapeId="0">
      <text>
        <r>
          <rPr>
            <b/>
            <sz val="9"/>
            <color indexed="81"/>
            <rFont val="Tahoma"/>
            <family val="2"/>
          </rPr>
          <t>Oculto</t>
        </r>
      </text>
    </comment>
    <comment ref="Y20" authorId="1" shapeId="0">
      <text>
        <r>
          <rPr>
            <b/>
            <sz val="9"/>
            <color indexed="81"/>
            <rFont val="Tahoma"/>
            <family val="2"/>
          </rPr>
          <t>Oculto</t>
        </r>
      </text>
    </comment>
    <comment ref="AC20" authorId="1" shapeId="0">
      <text>
        <r>
          <rPr>
            <b/>
            <sz val="9"/>
            <color indexed="81"/>
            <rFont val="Tahoma"/>
            <family val="2"/>
          </rPr>
          <t>Oculto</t>
        </r>
      </text>
    </comment>
    <comment ref="AD20" authorId="1" shapeId="0">
      <text>
        <r>
          <rPr>
            <b/>
            <sz val="9"/>
            <color indexed="81"/>
            <rFont val="Tahoma"/>
            <family val="2"/>
          </rPr>
          <t>Oculto</t>
        </r>
      </text>
    </comment>
    <comment ref="AE20" authorId="3" shapeId="0">
      <text>
        <r>
          <rPr>
            <b/>
            <sz val="9"/>
            <color indexed="81"/>
            <rFont val="Tahoma"/>
            <family val="2"/>
          </rPr>
          <t>Oculto</t>
        </r>
      </text>
    </comment>
    <comment ref="AG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3"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M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P20" authorId="1" shapeId="0">
      <text>
        <r>
          <rPr>
            <b/>
            <sz val="9"/>
            <color indexed="81"/>
            <rFont val="Tahoma"/>
            <family val="2"/>
          </rPr>
          <t>Oculto</t>
        </r>
      </text>
    </comment>
    <comment ref="AQ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T20" authorId="1" shapeId="0">
      <text>
        <r>
          <rPr>
            <b/>
            <sz val="9"/>
            <color indexed="81"/>
            <rFont val="Tahoma"/>
            <family val="2"/>
          </rPr>
          <t>Oculto</t>
        </r>
      </text>
    </comment>
    <comment ref="AU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X20" authorId="1" shapeId="0">
      <text>
        <r>
          <rPr>
            <b/>
            <sz val="9"/>
            <color indexed="81"/>
            <rFont val="Tahoma"/>
            <family val="2"/>
          </rPr>
          <t>Oculto</t>
        </r>
      </text>
    </comment>
    <comment ref="AY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E20" authorId="1" shapeId="0">
      <text>
        <r>
          <rPr>
            <b/>
            <sz val="9"/>
            <color indexed="81"/>
            <rFont val="Tahoma"/>
            <family val="2"/>
          </rPr>
          <t>Oculto</t>
        </r>
      </text>
    </comment>
    <comment ref="BF20" authorId="1" shapeId="0">
      <text>
        <r>
          <rPr>
            <b/>
            <sz val="9"/>
            <color indexed="81"/>
            <rFont val="Tahoma"/>
            <family val="2"/>
          </rPr>
          <t>Oculto</t>
        </r>
      </text>
    </comment>
    <comment ref="BI20" authorId="1" shapeId="0">
      <text>
        <r>
          <rPr>
            <b/>
            <sz val="9"/>
            <color indexed="81"/>
            <rFont val="Tahoma"/>
            <family val="2"/>
          </rPr>
          <t>Oculto</t>
        </r>
      </text>
    </comment>
    <comment ref="BJ20" authorId="1" shapeId="0">
      <text>
        <r>
          <rPr>
            <b/>
            <sz val="9"/>
            <color indexed="81"/>
            <rFont val="Tahoma"/>
            <family val="2"/>
          </rPr>
          <t>Oculto</t>
        </r>
      </text>
    </comment>
    <comment ref="BK20" authorId="1" shapeId="0">
      <text>
        <r>
          <rPr>
            <b/>
            <sz val="9"/>
            <color indexed="81"/>
            <rFont val="Tahoma"/>
            <family val="2"/>
          </rPr>
          <t>Oculto</t>
        </r>
      </text>
    </comment>
    <comment ref="BM20" authorId="1" shapeId="0">
      <text>
        <r>
          <rPr>
            <b/>
            <sz val="9"/>
            <color indexed="81"/>
            <rFont val="Tahoma"/>
            <family val="2"/>
          </rPr>
          <t>Oculto</t>
        </r>
      </text>
    </comment>
    <comment ref="BN20" authorId="1" shapeId="0">
      <text>
        <r>
          <rPr>
            <b/>
            <sz val="9"/>
            <color indexed="81"/>
            <rFont val="Tahoma"/>
            <family val="2"/>
          </rPr>
          <t>Oculto</t>
        </r>
      </text>
    </comment>
    <comment ref="BO20" authorId="1" shapeId="0">
      <text>
        <r>
          <rPr>
            <b/>
            <sz val="9"/>
            <color indexed="81"/>
            <rFont val="Tahoma"/>
            <family val="2"/>
          </rPr>
          <t>Oculto</t>
        </r>
      </text>
    </comment>
    <comment ref="BQ20" authorId="1" shapeId="0">
      <text>
        <r>
          <rPr>
            <b/>
            <sz val="9"/>
            <color indexed="81"/>
            <rFont val="Tahoma"/>
            <family val="2"/>
          </rPr>
          <t>Oculto</t>
        </r>
      </text>
    </comment>
    <comment ref="BR20" authorId="1" shapeId="0">
      <text>
        <r>
          <rPr>
            <b/>
            <sz val="9"/>
            <color indexed="81"/>
            <rFont val="Tahoma"/>
            <family val="2"/>
          </rPr>
          <t>Oculto</t>
        </r>
      </text>
    </comment>
    <comment ref="BS20" authorId="1" shapeId="0">
      <text>
        <r>
          <rPr>
            <b/>
            <sz val="9"/>
            <color indexed="81"/>
            <rFont val="Tahoma"/>
            <family val="2"/>
          </rPr>
          <t>Oculto</t>
        </r>
      </text>
    </comment>
    <comment ref="D21" authorId="1" shapeId="0">
      <text>
        <r>
          <rPr>
            <b/>
            <sz val="9"/>
            <color indexed="81"/>
            <rFont val="Tahoma"/>
            <family val="2"/>
          </rPr>
          <t>Oculto</t>
        </r>
      </text>
    </comment>
    <comment ref="E21" authorId="1" shapeId="0">
      <text>
        <r>
          <rPr>
            <b/>
            <sz val="9"/>
            <color indexed="81"/>
            <rFont val="Tahoma"/>
            <family val="2"/>
          </rPr>
          <t>Oculto</t>
        </r>
      </text>
    </comment>
    <comment ref="H21" authorId="2" shapeId="0">
      <text>
        <r>
          <rPr>
            <b/>
            <sz val="9"/>
            <color indexed="81"/>
            <rFont val="Tahoma"/>
            <family val="2"/>
          </rPr>
          <t>Oculto
No ejecutan</t>
        </r>
      </text>
    </comment>
    <comment ref="I21" authorId="1" shapeId="0">
      <text>
        <r>
          <rPr>
            <b/>
            <sz val="9"/>
            <color indexed="81"/>
            <rFont val="Tahoma"/>
            <family val="2"/>
          </rPr>
          <t>Oculto
Ejecutan</t>
        </r>
      </text>
    </comment>
    <comment ref="J21" authorId="1" shapeId="0">
      <text>
        <r>
          <rPr>
            <b/>
            <sz val="9"/>
            <color indexed="81"/>
            <rFont val="Tahoma"/>
            <family val="2"/>
          </rPr>
          <t>Oculto</t>
        </r>
      </text>
    </comment>
    <comment ref="K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t>
        </r>
      </text>
    </comment>
    <comment ref="O21" authorId="1" shapeId="0">
      <text>
        <r>
          <rPr>
            <b/>
            <sz val="9"/>
            <color indexed="81"/>
            <rFont val="Tahoma"/>
            <family val="2"/>
          </rPr>
          <t>Oculto</t>
        </r>
      </text>
    </comment>
    <comment ref="P21" authorId="1" shapeId="0">
      <text>
        <r>
          <rPr>
            <b/>
            <sz val="9"/>
            <color indexed="81"/>
            <rFont val="Tahoma"/>
            <family val="2"/>
          </rPr>
          <t>Oculto</t>
        </r>
      </text>
    </comment>
    <comment ref="Q21" authorId="1" shapeId="0">
      <text>
        <r>
          <rPr>
            <b/>
            <sz val="9"/>
            <color indexed="81"/>
            <rFont val="Tahoma"/>
            <family val="2"/>
          </rPr>
          <t>Oculto
No ejecutan</t>
        </r>
      </text>
    </comment>
    <comment ref="R21" authorId="1" shapeId="0">
      <text>
        <r>
          <rPr>
            <b/>
            <sz val="9"/>
            <color indexed="81"/>
            <rFont val="Tahoma"/>
            <family val="2"/>
          </rPr>
          <t>Oculto
No ejecutan</t>
        </r>
      </text>
    </comment>
    <comment ref="S21" authorId="1" shapeId="0">
      <text>
        <r>
          <rPr>
            <b/>
            <sz val="9"/>
            <color indexed="81"/>
            <rFont val="Tahoma"/>
            <family val="2"/>
          </rPr>
          <t>Oculto</t>
        </r>
      </text>
    </comment>
    <comment ref="T21" authorId="1" shapeId="0">
      <text>
        <r>
          <rPr>
            <b/>
            <sz val="9"/>
            <color indexed="81"/>
            <rFont val="Tahoma"/>
            <family val="2"/>
          </rPr>
          <t>Oculto</t>
        </r>
      </text>
    </comment>
    <comment ref="Y21" authorId="1" shapeId="0">
      <text>
        <r>
          <rPr>
            <b/>
            <sz val="9"/>
            <color indexed="81"/>
            <rFont val="Tahoma"/>
            <family val="2"/>
          </rPr>
          <t>Oculto</t>
        </r>
      </text>
    </comment>
    <comment ref="AC21" authorId="1" shapeId="0">
      <text>
        <r>
          <rPr>
            <b/>
            <sz val="9"/>
            <color indexed="81"/>
            <rFont val="Tahoma"/>
            <family val="2"/>
          </rPr>
          <t>Oculto
No ejecutan</t>
        </r>
      </text>
    </comment>
    <comment ref="AD21" authorId="1" shapeId="0">
      <text>
        <r>
          <rPr>
            <b/>
            <sz val="9"/>
            <color indexed="81"/>
            <rFont val="Tahoma"/>
            <family val="2"/>
          </rPr>
          <t>Oculto</t>
        </r>
      </text>
    </comment>
    <comment ref="AE21" authorId="3" shapeId="0">
      <text>
        <r>
          <rPr>
            <b/>
            <sz val="9"/>
            <color indexed="81"/>
            <rFont val="Tahoma"/>
            <family val="2"/>
          </rPr>
          <t>Oculto</t>
        </r>
      </text>
    </comment>
    <comment ref="AG21" authorId="1" shapeId="0">
      <text>
        <r>
          <rPr>
            <b/>
            <sz val="9"/>
            <color indexed="81"/>
            <rFont val="Tahoma"/>
            <family val="2"/>
          </rPr>
          <t>Oculto</t>
        </r>
      </text>
    </comment>
    <comment ref="AH21" authorId="1" shapeId="0">
      <text>
        <r>
          <rPr>
            <b/>
            <sz val="9"/>
            <color indexed="81"/>
            <rFont val="Tahoma"/>
            <family val="2"/>
          </rPr>
          <t>Oculto</t>
        </r>
      </text>
    </comment>
    <comment ref="AI21" authorId="1" shapeId="0">
      <text>
        <r>
          <rPr>
            <b/>
            <sz val="9"/>
            <color indexed="81"/>
            <rFont val="Tahoma"/>
            <family val="2"/>
          </rPr>
          <t>Oculto</t>
        </r>
      </text>
    </comment>
    <comment ref="AJ21" authorId="3" shapeId="0">
      <text>
        <r>
          <rPr>
            <b/>
            <sz val="9"/>
            <color indexed="81"/>
            <rFont val="Tahoma"/>
            <family val="2"/>
          </rPr>
          <t>Oculto</t>
        </r>
      </text>
    </comment>
    <comment ref="AK21" authorId="1" shapeId="0">
      <text>
        <r>
          <rPr>
            <b/>
            <sz val="9"/>
            <color indexed="81"/>
            <rFont val="Tahoma"/>
            <family val="2"/>
          </rPr>
          <t>Oculto</t>
        </r>
      </text>
    </comment>
    <comment ref="AL21" authorId="1" shapeId="0">
      <text>
        <r>
          <rPr>
            <b/>
            <sz val="9"/>
            <color indexed="81"/>
            <rFont val="Tahoma"/>
            <family val="2"/>
          </rPr>
          <t>Oculto</t>
        </r>
      </text>
    </comment>
    <comment ref="AM21" authorId="1" shapeId="0">
      <text>
        <r>
          <rPr>
            <b/>
            <sz val="9"/>
            <color indexed="81"/>
            <rFont val="Tahoma"/>
            <family val="2"/>
          </rPr>
          <t>Oculto
No ejecutan</t>
        </r>
      </text>
    </comment>
    <comment ref="AN21" authorId="1" shapeId="0">
      <text>
        <r>
          <rPr>
            <b/>
            <sz val="9"/>
            <color indexed="81"/>
            <rFont val="Tahoma"/>
            <family val="2"/>
          </rPr>
          <t>Oculto</t>
        </r>
      </text>
    </comment>
    <comment ref="AO21" authorId="1" shapeId="0">
      <text>
        <r>
          <rPr>
            <b/>
            <sz val="9"/>
            <color indexed="81"/>
            <rFont val="Tahoma"/>
            <family val="2"/>
          </rPr>
          <t>Oculto</t>
        </r>
      </text>
    </comment>
    <comment ref="AP21" authorId="1" shapeId="0">
      <text>
        <r>
          <rPr>
            <b/>
            <sz val="9"/>
            <color indexed="81"/>
            <rFont val="Tahoma"/>
            <family val="2"/>
          </rPr>
          <t>Oculto</t>
        </r>
      </text>
    </comment>
    <comment ref="AQ21" authorId="1" shapeId="0">
      <text>
        <r>
          <rPr>
            <b/>
            <sz val="9"/>
            <color indexed="81"/>
            <rFont val="Tahoma"/>
            <family val="2"/>
          </rPr>
          <t>Oculto</t>
        </r>
      </text>
    </comment>
    <comment ref="AR21" authorId="1" shapeId="0">
      <text>
        <r>
          <rPr>
            <b/>
            <sz val="9"/>
            <color indexed="81"/>
            <rFont val="Tahoma"/>
            <family val="2"/>
          </rPr>
          <t>Oculto</t>
        </r>
      </text>
    </comment>
    <comment ref="AW21" authorId="1" shapeId="0">
      <text>
        <r>
          <rPr>
            <b/>
            <sz val="9"/>
            <color indexed="81"/>
            <rFont val="Tahoma"/>
            <family val="2"/>
          </rPr>
          <t>Oculto</t>
        </r>
      </text>
    </comment>
    <comment ref="AX21" authorId="1" shapeId="0">
      <text>
        <r>
          <rPr>
            <b/>
            <sz val="9"/>
            <color indexed="81"/>
            <rFont val="Tahoma"/>
            <family val="2"/>
          </rPr>
          <t>Oculto</t>
        </r>
      </text>
    </comment>
    <comment ref="AY21" authorId="1" shapeId="0">
      <text>
        <r>
          <rPr>
            <b/>
            <sz val="9"/>
            <color indexed="81"/>
            <rFont val="Tahoma"/>
            <family val="2"/>
          </rPr>
          <t>Oculto</t>
        </r>
      </text>
    </comment>
    <comment ref="AZ21" authorId="1" shapeId="0">
      <text>
        <r>
          <rPr>
            <b/>
            <sz val="9"/>
            <color indexed="81"/>
            <rFont val="Tahoma"/>
            <family val="2"/>
          </rPr>
          <t>Oculto</t>
        </r>
      </text>
    </comment>
    <comment ref="BA21" authorId="1" shapeId="0">
      <text>
        <r>
          <rPr>
            <b/>
            <sz val="9"/>
            <color indexed="81"/>
            <rFont val="Tahoma"/>
            <family val="2"/>
          </rPr>
          <t>Oculto</t>
        </r>
      </text>
    </comment>
    <comment ref="BB21" authorId="1" shapeId="0">
      <text>
        <r>
          <rPr>
            <b/>
            <sz val="9"/>
            <color indexed="81"/>
            <rFont val="Tahoma"/>
            <family val="2"/>
          </rPr>
          <t>Oculto</t>
        </r>
      </text>
    </comment>
    <comment ref="BD21" authorId="1" shapeId="0">
      <text>
        <r>
          <rPr>
            <b/>
            <sz val="9"/>
            <color indexed="81"/>
            <rFont val="Tahoma"/>
            <family val="2"/>
          </rPr>
          <t>Oculto</t>
        </r>
      </text>
    </comment>
    <comment ref="BK21" authorId="1" shapeId="0">
      <text>
        <r>
          <rPr>
            <b/>
            <sz val="9"/>
            <color indexed="81"/>
            <rFont val="Tahoma"/>
            <family val="2"/>
          </rPr>
          <t>Oculto</t>
        </r>
      </text>
    </comment>
    <comment ref="BM21" authorId="1" shapeId="0">
      <text>
        <r>
          <rPr>
            <b/>
            <sz val="9"/>
            <color indexed="81"/>
            <rFont val="Tahoma"/>
            <family val="2"/>
          </rPr>
          <t>Oculto
No ejecutan</t>
        </r>
      </text>
    </comment>
    <comment ref="BN21" authorId="1" shapeId="0">
      <text>
        <r>
          <rPr>
            <b/>
            <sz val="9"/>
            <color indexed="81"/>
            <rFont val="Tahoma"/>
            <family val="2"/>
          </rPr>
          <t>Oculto</t>
        </r>
      </text>
    </comment>
    <comment ref="BO21" authorId="1" shapeId="0">
      <text>
        <r>
          <rPr>
            <b/>
            <sz val="9"/>
            <color indexed="81"/>
            <rFont val="Tahoma"/>
            <family val="2"/>
          </rPr>
          <t>Oculto</t>
        </r>
      </text>
    </comment>
    <comment ref="BQ21" authorId="1" shapeId="0">
      <text>
        <r>
          <rPr>
            <b/>
            <sz val="9"/>
            <color indexed="81"/>
            <rFont val="Tahoma"/>
            <family val="2"/>
          </rPr>
          <t>Oculto
No ejecutan</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N22" authorId="1" shapeId="0">
      <text>
        <r>
          <rPr>
            <b/>
            <sz val="9"/>
            <color indexed="81"/>
            <rFont val="Tahoma"/>
            <family val="2"/>
          </rPr>
          <t>Oculto</t>
        </r>
      </text>
    </comment>
    <comment ref="O22" authorId="1" shapeId="0">
      <text>
        <r>
          <rPr>
            <b/>
            <sz val="9"/>
            <color indexed="81"/>
            <rFont val="Tahoma"/>
            <family val="2"/>
          </rPr>
          <t>Oculto</t>
        </r>
      </text>
    </comment>
    <comment ref="P22" authorId="1" shapeId="0">
      <text>
        <r>
          <rPr>
            <b/>
            <sz val="9"/>
            <color indexed="81"/>
            <rFont val="Tahoma"/>
            <family val="2"/>
          </rPr>
          <t>Oculto</t>
        </r>
      </text>
    </comment>
    <comment ref="S22" authorId="1" shapeId="0">
      <text>
        <r>
          <rPr>
            <b/>
            <sz val="9"/>
            <color indexed="81"/>
            <rFont val="Tahoma"/>
            <family val="2"/>
          </rPr>
          <t>Oculto</t>
        </r>
      </text>
    </comment>
    <comment ref="T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D22" authorId="1" shapeId="0">
      <text>
        <r>
          <rPr>
            <b/>
            <sz val="9"/>
            <color indexed="81"/>
            <rFont val="Tahoma"/>
            <family val="2"/>
          </rPr>
          <t>Oculto</t>
        </r>
      </text>
    </comment>
    <comment ref="AE22" authorId="3"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H22" authorId="1" shapeId="0">
      <text>
        <r>
          <rPr>
            <b/>
            <sz val="9"/>
            <color indexed="81"/>
            <rFont val="Tahoma"/>
            <family val="2"/>
          </rPr>
          <t>Oculto</t>
        </r>
      </text>
    </comment>
    <comment ref="AI22" authorId="1" shapeId="0">
      <text>
        <r>
          <rPr>
            <b/>
            <sz val="9"/>
            <color indexed="81"/>
            <rFont val="Tahoma"/>
            <family val="2"/>
          </rPr>
          <t>Oculto</t>
        </r>
      </text>
    </comment>
    <comment ref="AJ22" authorId="3"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P22" authorId="1" shapeId="0">
      <text>
        <r>
          <rPr>
            <b/>
            <sz val="9"/>
            <color indexed="81"/>
            <rFont val="Tahoma"/>
            <family val="2"/>
          </rPr>
          <t>Oculto</t>
        </r>
      </text>
    </comment>
    <comment ref="AQ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V22" authorId="1" shapeId="0">
      <text>
        <r>
          <rPr>
            <b/>
            <sz val="9"/>
            <color indexed="81"/>
            <rFont val="Tahoma"/>
            <family val="2"/>
          </rPr>
          <t>Oculto</t>
        </r>
      </text>
    </comment>
    <comment ref="AW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B22" authorId="1" shapeId="0">
      <text>
        <r>
          <rPr>
            <b/>
            <sz val="9"/>
            <color indexed="81"/>
            <rFont val="Tahoma"/>
            <family val="2"/>
          </rPr>
          <t>Oculto</t>
        </r>
      </text>
    </comment>
    <comment ref="BC22" authorId="1" shapeId="0">
      <text>
        <r>
          <rPr>
            <b/>
            <sz val="9"/>
            <color indexed="81"/>
            <rFont val="Tahoma"/>
            <family val="2"/>
          </rPr>
          <t>Oculto</t>
        </r>
      </text>
    </comment>
    <comment ref="BE22" authorId="1" shapeId="0">
      <text>
        <r>
          <rPr>
            <b/>
            <sz val="9"/>
            <color indexed="81"/>
            <rFont val="Tahoma"/>
            <family val="2"/>
          </rPr>
          <t>Oculto</t>
        </r>
      </text>
    </comment>
    <comment ref="BF22" authorId="1" shapeId="0">
      <text>
        <r>
          <rPr>
            <b/>
            <sz val="9"/>
            <color indexed="81"/>
            <rFont val="Tahoma"/>
            <family val="2"/>
          </rPr>
          <t>Oculto</t>
        </r>
      </text>
    </comment>
    <comment ref="BI22" authorId="1" shapeId="0">
      <text>
        <r>
          <rPr>
            <b/>
            <sz val="9"/>
            <color indexed="81"/>
            <rFont val="Tahoma"/>
            <family val="2"/>
          </rPr>
          <t>Oculto</t>
        </r>
      </text>
    </comment>
    <comment ref="BJ22" authorId="1" shapeId="0">
      <text>
        <r>
          <rPr>
            <b/>
            <sz val="9"/>
            <color indexed="81"/>
            <rFont val="Tahoma"/>
            <family val="2"/>
          </rPr>
          <t>Oculto</t>
        </r>
      </text>
    </comment>
    <comment ref="BK22" authorId="1" shapeId="0">
      <text>
        <r>
          <rPr>
            <b/>
            <sz val="9"/>
            <color indexed="81"/>
            <rFont val="Tahoma"/>
            <family val="2"/>
          </rPr>
          <t>Oculto</t>
        </r>
      </text>
    </comment>
    <comment ref="BL22" authorId="1" shapeId="0">
      <text>
        <r>
          <rPr>
            <b/>
            <sz val="9"/>
            <color indexed="81"/>
            <rFont val="Tahoma"/>
            <family val="2"/>
          </rPr>
          <t>Oculto</t>
        </r>
      </text>
    </comment>
    <comment ref="BN22" authorId="1" shapeId="0">
      <text>
        <r>
          <rPr>
            <b/>
            <sz val="9"/>
            <color indexed="81"/>
            <rFont val="Tahoma"/>
            <family val="2"/>
          </rPr>
          <t>Oculto</t>
        </r>
      </text>
    </comment>
    <comment ref="BO22" authorId="1" shapeId="0">
      <text>
        <r>
          <rPr>
            <b/>
            <sz val="9"/>
            <color indexed="81"/>
            <rFont val="Tahoma"/>
            <family val="2"/>
          </rPr>
          <t>Oculto</t>
        </r>
      </text>
    </comment>
    <comment ref="BP22" authorId="1" shapeId="0">
      <text>
        <r>
          <rPr>
            <b/>
            <sz val="9"/>
            <color indexed="81"/>
            <rFont val="Tahoma"/>
            <family val="2"/>
          </rPr>
          <t>Oculto</t>
        </r>
      </text>
    </comment>
    <comment ref="BR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H25" authorId="1" shapeId="0">
      <text>
        <r>
          <rPr>
            <b/>
            <sz val="9"/>
            <color indexed="81"/>
            <rFont val="Tahoma"/>
            <family val="2"/>
          </rPr>
          <t>Oculto</t>
        </r>
      </text>
    </comment>
    <comment ref="J25" authorId="1" shapeId="0">
      <text>
        <r>
          <rPr>
            <b/>
            <sz val="9"/>
            <color indexed="81"/>
            <rFont val="Tahoma"/>
            <family val="2"/>
          </rPr>
          <t>Oculto</t>
        </r>
      </text>
    </comment>
    <comment ref="K25" authorId="1" shapeId="0">
      <text>
        <r>
          <rPr>
            <b/>
            <sz val="9"/>
            <color indexed="81"/>
            <rFont val="Tahoma"/>
            <family val="2"/>
          </rPr>
          <t>Oculto</t>
        </r>
      </text>
    </comment>
    <comment ref="N25" authorId="1" shapeId="0">
      <text>
        <r>
          <rPr>
            <b/>
            <sz val="9"/>
            <color indexed="81"/>
            <rFont val="Tahoma"/>
            <family val="2"/>
          </rPr>
          <t>Oculto</t>
        </r>
      </text>
    </comment>
    <comment ref="O25" authorId="1" shapeId="0">
      <text>
        <r>
          <rPr>
            <b/>
            <sz val="9"/>
            <color indexed="81"/>
            <rFont val="Tahoma"/>
            <family val="2"/>
          </rPr>
          <t>Oculto</t>
        </r>
      </text>
    </comment>
    <comment ref="P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AD25" authorId="1" shapeId="0">
      <text>
        <r>
          <rPr>
            <b/>
            <sz val="9"/>
            <color indexed="81"/>
            <rFont val="Tahoma"/>
            <family val="2"/>
          </rPr>
          <t>Oculto</t>
        </r>
      </text>
    </comment>
    <comment ref="AE25" authorId="3" shapeId="0">
      <text>
        <r>
          <rPr>
            <b/>
            <sz val="9"/>
            <color indexed="81"/>
            <rFont val="Tahoma"/>
            <family val="2"/>
          </rPr>
          <t>Oculto</t>
        </r>
      </text>
    </comment>
    <comment ref="AH25" authorId="1" shapeId="0">
      <text>
        <r>
          <rPr>
            <b/>
            <sz val="9"/>
            <color indexed="81"/>
            <rFont val="Tahoma"/>
            <family val="2"/>
          </rPr>
          <t>Oculto</t>
        </r>
      </text>
    </comment>
    <comment ref="AI25" authorId="1" shapeId="0">
      <text>
        <r>
          <rPr>
            <b/>
            <sz val="9"/>
            <color indexed="81"/>
            <rFont val="Tahoma"/>
            <family val="2"/>
          </rPr>
          <t>Oculto</t>
        </r>
      </text>
    </comment>
    <comment ref="AJ25" authorId="3" shapeId="0">
      <text>
        <r>
          <rPr>
            <b/>
            <sz val="9"/>
            <color indexed="81"/>
            <rFont val="Tahoma"/>
            <family val="2"/>
          </rPr>
          <t>Oculto</t>
        </r>
      </text>
    </comment>
    <comment ref="AL25" authorId="1" shapeId="0">
      <text>
        <r>
          <rPr>
            <b/>
            <sz val="9"/>
            <color indexed="81"/>
            <rFont val="Tahoma"/>
            <family val="2"/>
          </rPr>
          <t>Oculto</t>
        </r>
      </text>
    </comment>
    <comment ref="AP25" authorId="1" shapeId="0">
      <text>
        <r>
          <rPr>
            <b/>
            <sz val="9"/>
            <color indexed="81"/>
            <rFont val="Tahoma"/>
            <family val="2"/>
          </rPr>
          <t>Oculto</t>
        </r>
      </text>
    </comment>
    <comment ref="AR25" authorId="1" shapeId="0">
      <text>
        <r>
          <rPr>
            <b/>
            <sz val="9"/>
            <color indexed="81"/>
            <rFont val="Tahoma"/>
            <family val="2"/>
          </rPr>
          <t>Oculto</t>
        </r>
      </text>
    </comment>
    <comment ref="BI25" authorId="1" shapeId="0">
      <text>
        <r>
          <rPr>
            <b/>
            <sz val="9"/>
            <color indexed="81"/>
            <rFont val="Tahoma"/>
            <family val="2"/>
          </rPr>
          <t>Oculto</t>
        </r>
      </text>
    </comment>
    <comment ref="BK25" authorId="1" shapeId="0">
      <text>
        <r>
          <rPr>
            <b/>
            <sz val="9"/>
            <color indexed="81"/>
            <rFont val="Tahoma"/>
            <family val="2"/>
          </rPr>
          <t>Oculto</t>
        </r>
      </text>
    </comment>
    <comment ref="BN25" authorId="1" shapeId="0">
      <text>
        <r>
          <rPr>
            <b/>
            <sz val="9"/>
            <color indexed="81"/>
            <rFont val="Tahoma"/>
            <family val="2"/>
          </rPr>
          <t>Oculto</t>
        </r>
      </text>
    </comment>
    <comment ref="BO25" authorId="1" shapeId="0">
      <text>
        <r>
          <rPr>
            <b/>
            <sz val="9"/>
            <color indexed="81"/>
            <rFont val="Tahoma"/>
            <family val="2"/>
          </rPr>
          <t>Oculto</t>
        </r>
      </text>
    </comment>
    <comment ref="BQ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H28" authorId="1" shapeId="0">
      <text>
        <r>
          <rPr>
            <b/>
            <sz val="9"/>
            <color indexed="81"/>
            <rFont val="Tahoma"/>
            <family val="2"/>
          </rPr>
          <t>Oculto</t>
        </r>
      </text>
    </comment>
    <comment ref="J28" authorId="1" shapeId="0">
      <text>
        <r>
          <rPr>
            <b/>
            <sz val="9"/>
            <color indexed="81"/>
            <rFont val="Tahoma"/>
            <family val="2"/>
          </rPr>
          <t>Oculto</t>
        </r>
      </text>
    </comment>
    <comment ref="K28" authorId="1" shapeId="0">
      <text>
        <r>
          <rPr>
            <b/>
            <sz val="9"/>
            <color indexed="81"/>
            <rFont val="Tahoma"/>
            <family val="2"/>
          </rPr>
          <t>Oculto</t>
        </r>
      </text>
    </comment>
    <comment ref="N28" authorId="1" shapeId="0">
      <text>
        <r>
          <rPr>
            <b/>
            <sz val="9"/>
            <color indexed="81"/>
            <rFont val="Tahoma"/>
            <family val="2"/>
          </rPr>
          <t>Oculto</t>
        </r>
      </text>
    </comment>
    <comment ref="O28" authorId="1" shapeId="0">
      <text>
        <r>
          <rPr>
            <b/>
            <sz val="9"/>
            <color indexed="81"/>
            <rFont val="Tahoma"/>
            <family val="2"/>
          </rPr>
          <t>Oculto</t>
        </r>
      </text>
    </comment>
    <comment ref="P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C28" authorId="1" shapeId="0">
      <text>
        <r>
          <rPr>
            <b/>
            <sz val="9"/>
            <color indexed="81"/>
            <rFont val="Tahoma"/>
            <family val="2"/>
          </rPr>
          <t>Oculto
No Ejecutan</t>
        </r>
      </text>
    </comment>
    <comment ref="AD28" authorId="1" shapeId="0">
      <text>
        <r>
          <rPr>
            <b/>
            <sz val="9"/>
            <color indexed="81"/>
            <rFont val="Tahoma"/>
            <family val="2"/>
          </rPr>
          <t>Oculto</t>
        </r>
      </text>
    </comment>
    <comment ref="AE28" authorId="3" shapeId="0">
      <text>
        <r>
          <rPr>
            <b/>
            <sz val="9"/>
            <color indexed="81"/>
            <rFont val="Tahoma"/>
            <family val="2"/>
          </rPr>
          <t>Oculto</t>
        </r>
      </text>
    </comment>
    <comment ref="AG28" authorId="1" shapeId="0">
      <text>
        <r>
          <rPr>
            <b/>
            <sz val="9"/>
            <color indexed="81"/>
            <rFont val="Tahoma"/>
            <family val="2"/>
          </rPr>
          <t>Oculto</t>
        </r>
      </text>
    </comment>
    <comment ref="AH28" authorId="1" shapeId="0">
      <text>
        <r>
          <rPr>
            <b/>
            <sz val="9"/>
            <color indexed="81"/>
            <rFont val="Tahoma"/>
            <family val="2"/>
          </rPr>
          <t>Oculto</t>
        </r>
      </text>
    </comment>
    <comment ref="AI28" authorId="1" shapeId="0">
      <text>
        <r>
          <rPr>
            <b/>
            <sz val="9"/>
            <color indexed="81"/>
            <rFont val="Tahoma"/>
            <family val="2"/>
          </rPr>
          <t>Oculto</t>
        </r>
      </text>
    </comment>
    <comment ref="AJ28" authorId="3" shapeId="0">
      <text>
        <r>
          <rPr>
            <b/>
            <sz val="9"/>
            <color indexed="81"/>
            <rFont val="Tahoma"/>
            <family val="2"/>
          </rPr>
          <t>Oculto</t>
        </r>
      </text>
    </comment>
    <comment ref="AK28" authorId="1" shapeId="0">
      <text>
        <r>
          <rPr>
            <b/>
            <sz val="9"/>
            <color indexed="81"/>
            <rFont val="Tahoma"/>
            <family val="2"/>
          </rPr>
          <t>Oculto</t>
        </r>
      </text>
    </comment>
    <comment ref="AL28" authorId="1" shapeId="0">
      <text>
        <r>
          <rPr>
            <b/>
            <sz val="9"/>
            <color indexed="81"/>
            <rFont val="Tahoma"/>
            <family val="2"/>
          </rPr>
          <t>Oculto</t>
        </r>
      </text>
    </comment>
    <comment ref="AM28" authorId="1" shapeId="0">
      <text>
        <r>
          <rPr>
            <b/>
            <sz val="9"/>
            <color indexed="81"/>
            <rFont val="Tahoma"/>
            <family val="2"/>
          </rPr>
          <t>Oculto
No Ejecutan</t>
        </r>
      </text>
    </comment>
    <comment ref="AN28" authorId="1" shapeId="0">
      <text>
        <r>
          <rPr>
            <b/>
            <sz val="9"/>
            <color indexed="81"/>
            <rFont val="Tahoma"/>
            <family val="2"/>
          </rPr>
          <t>Oculto</t>
        </r>
      </text>
    </comment>
    <comment ref="AO28" authorId="1" shapeId="0">
      <text>
        <r>
          <rPr>
            <b/>
            <sz val="9"/>
            <color indexed="81"/>
            <rFont val="Tahoma"/>
            <family val="2"/>
          </rPr>
          <t>Oculto</t>
        </r>
      </text>
    </comment>
    <comment ref="AP28" authorId="1" shapeId="0">
      <text>
        <r>
          <rPr>
            <b/>
            <sz val="9"/>
            <color indexed="81"/>
            <rFont val="Tahoma"/>
            <family val="2"/>
          </rPr>
          <t>Oculto</t>
        </r>
      </text>
    </comment>
    <comment ref="AQ28" authorId="1" shapeId="0">
      <text>
        <r>
          <rPr>
            <b/>
            <sz val="9"/>
            <color indexed="81"/>
            <rFont val="Tahoma"/>
            <family val="2"/>
          </rPr>
          <t>Oculto</t>
        </r>
      </text>
    </comment>
    <comment ref="AR28" authorId="1" shapeId="0">
      <text>
        <r>
          <rPr>
            <b/>
            <sz val="9"/>
            <color indexed="81"/>
            <rFont val="Tahoma"/>
            <family val="2"/>
          </rPr>
          <t>Oculto</t>
        </r>
      </text>
    </comment>
    <comment ref="AW28" authorId="1" shapeId="0">
      <text>
        <r>
          <rPr>
            <b/>
            <sz val="9"/>
            <color indexed="81"/>
            <rFont val="Tahoma"/>
            <family val="2"/>
          </rPr>
          <t>Oculto</t>
        </r>
      </text>
    </comment>
    <comment ref="AX28" authorId="1" shapeId="0">
      <text>
        <r>
          <rPr>
            <b/>
            <sz val="9"/>
            <color indexed="81"/>
            <rFont val="Tahoma"/>
            <family val="2"/>
          </rPr>
          <t>Oculto</t>
        </r>
      </text>
    </comment>
    <comment ref="AY28" authorId="1" shapeId="0">
      <text>
        <r>
          <rPr>
            <b/>
            <sz val="9"/>
            <color indexed="81"/>
            <rFont val="Tahoma"/>
            <family val="2"/>
          </rPr>
          <t>Oculto</t>
        </r>
      </text>
    </comment>
    <comment ref="AZ28" authorId="1" shapeId="0">
      <text>
        <r>
          <rPr>
            <b/>
            <sz val="9"/>
            <color indexed="81"/>
            <rFont val="Tahoma"/>
            <family val="2"/>
          </rPr>
          <t>Oculto</t>
        </r>
      </text>
    </comment>
    <comment ref="BA28" authorId="1" shapeId="0">
      <text>
        <r>
          <rPr>
            <b/>
            <sz val="9"/>
            <color indexed="81"/>
            <rFont val="Tahoma"/>
            <family val="2"/>
          </rPr>
          <t>Oculto</t>
        </r>
      </text>
    </comment>
    <comment ref="BB28" authorId="1" shapeId="0">
      <text>
        <r>
          <rPr>
            <b/>
            <sz val="9"/>
            <color indexed="81"/>
            <rFont val="Tahoma"/>
            <family val="2"/>
          </rPr>
          <t>Oculto</t>
        </r>
      </text>
    </comment>
    <comment ref="BI28" authorId="1" shapeId="0">
      <text>
        <r>
          <rPr>
            <b/>
            <sz val="9"/>
            <color indexed="81"/>
            <rFont val="Tahoma"/>
            <family val="2"/>
          </rPr>
          <t>Oculto</t>
        </r>
      </text>
    </comment>
    <comment ref="BM28" authorId="1" shapeId="0">
      <text>
        <r>
          <rPr>
            <b/>
            <sz val="9"/>
            <color indexed="81"/>
            <rFont val="Tahoma"/>
            <family val="2"/>
          </rPr>
          <t>Oculto
No Ejecutan</t>
        </r>
      </text>
    </comment>
    <comment ref="BN28" authorId="1" shapeId="0">
      <text>
        <r>
          <rPr>
            <b/>
            <sz val="9"/>
            <color indexed="81"/>
            <rFont val="Tahoma"/>
            <family val="2"/>
          </rPr>
          <t>Oculto</t>
        </r>
      </text>
    </comment>
    <comment ref="BO28" authorId="1" shapeId="0">
      <text>
        <r>
          <rPr>
            <b/>
            <sz val="9"/>
            <color indexed="81"/>
            <rFont val="Tahoma"/>
            <family val="2"/>
          </rPr>
          <t>Oculto</t>
        </r>
      </text>
    </comment>
    <comment ref="BQ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N29" authorId="1" shapeId="0">
      <text>
        <r>
          <rPr>
            <b/>
            <sz val="9"/>
            <color indexed="81"/>
            <rFont val="Tahoma"/>
            <family val="2"/>
          </rPr>
          <t>Oculto</t>
        </r>
      </text>
    </comment>
    <comment ref="O29" authorId="1" shapeId="0">
      <text>
        <r>
          <rPr>
            <b/>
            <sz val="9"/>
            <color indexed="81"/>
            <rFont val="Tahoma"/>
            <family val="2"/>
          </rPr>
          <t>Oculto</t>
        </r>
      </text>
    </comment>
    <comment ref="P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D29" authorId="1" shapeId="0">
      <text>
        <r>
          <rPr>
            <b/>
            <sz val="9"/>
            <color indexed="81"/>
            <rFont val="Tahoma"/>
            <family val="2"/>
          </rPr>
          <t>Oculto</t>
        </r>
      </text>
    </comment>
    <comment ref="AE29" authorId="3"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H29" authorId="1" shapeId="0">
      <text>
        <r>
          <rPr>
            <b/>
            <sz val="9"/>
            <color indexed="81"/>
            <rFont val="Tahoma"/>
            <family val="2"/>
          </rPr>
          <t>Oculto</t>
        </r>
      </text>
    </comment>
    <comment ref="AI29" authorId="1" shapeId="0">
      <text>
        <r>
          <rPr>
            <b/>
            <sz val="9"/>
            <color indexed="81"/>
            <rFont val="Tahoma"/>
            <family val="2"/>
          </rPr>
          <t>Oculto</t>
        </r>
      </text>
    </comment>
    <comment ref="AJ29" authorId="3"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N29" authorId="1" shapeId="0">
      <text>
        <r>
          <rPr>
            <b/>
            <sz val="9"/>
            <color indexed="81"/>
            <rFont val="Tahoma"/>
            <family val="2"/>
          </rPr>
          <t>Oculto</t>
        </r>
      </text>
    </comment>
    <comment ref="AO29" authorId="1" shapeId="0">
      <text>
        <r>
          <rPr>
            <b/>
            <sz val="9"/>
            <color indexed="81"/>
            <rFont val="Tahoma"/>
            <family val="2"/>
          </rPr>
          <t>Oculto</t>
        </r>
      </text>
    </comment>
    <comment ref="AP29" authorId="1" shapeId="0">
      <text>
        <r>
          <rPr>
            <b/>
            <sz val="9"/>
            <color indexed="81"/>
            <rFont val="Tahoma"/>
            <family val="2"/>
          </rPr>
          <t>Oculto</t>
        </r>
      </text>
    </comment>
    <comment ref="AQ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V29" authorId="1" shapeId="0">
      <text>
        <r>
          <rPr>
            <b/>
            <sz val="9"/>
            <color indexed="81"/>
            <rFont val="Tahoma"/>
            <family val="2"/>
          </rPr>
          <t>Oculto</t>
        </r>
      </text>
    </comment>
    <comment ref="AW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B29" authorId="1" shapeId="0">
      <text>
        <r>
          <rPr>
            <b/>
            <sz val="9"/>
            <color indexed="81"/>
            <rFont val="Tahoma"/>
            <family val="2"/>
          </rPr>
          <t>Oculto</t>
        </r>
      </text>
    </comment>
    <comment ref="BC29" authorId="1" shapeId="0">
      <text>
        <r>
          <rPr>
            <b/>
            <sz val="9"/>
            <color indexed="81"/>
            <rFont val="Tahoma"/>
            <family val="2"/>
          </rPr>
          <t>Oculto</t>
        </r>
      </text>
    </comment>
    <comment ref="BG29" authorId="1" shapeId="0">
      <text>
        <r>
          <rPr>
            <b/>
            <sz val="9"/>
            <color indexed="81"/>
            <rFont val="Tahoma"/>
            <family val="2"/>
          </rPr>
          <t>Oculto</t>
        </r>
      </text>
    </comment>
    <comment ref="BI29" authorId="1" shapeId="0">
      <text>
        <r>
          <rPr>
            <b/>
            <sz val="9"/>
            <color indexed="81"/>
            <rFont val="Tahoma"/>
            <family val="2"/>
          </rPr>
          <t>Oculto</t>
        </r>
      </text>
    </comment>
    <comment ref="BJ29" authorId="1" shapeId="0">
      <text>
        <r>
          <rPr>
            <b/>
            <sz val="9"/>
            <color indexed="81"/>
            <rFont val="Tahoma"/>
            <family val="2"/>
          </rPr>
          <t>Oculto</t>
        </r>
      </text>
    </comment>
    <comment ref="BK29" authorId="1" shapeId="0">
      <text>
        <r>
          <rPr>
            <b/>
            <sz val="9"/>
            <color indexed="81"/>
            <rFont val="Tahoma"/>
            <family val="2"/>
          </rPr>
          <t>Oculto</t>
        </r>
      </text>
    </comment>
    <comment ref="BN29" authorId="1" shapeId="0">
      <text>
        <r>
          <rPr>
            <b/>
            <sz val="9"/>
            <color indexed="81"/>
            <rFont val="Tahoma"/>
            <family val="2"/>
          </rPr>
          <t>Oculto</t>
        </r>
      </text>
    </comment>
    <comment ref="BO29" authorId="1" shapeId="0">
      <text>
        <r>
          <rPr>
            <b/>
            <sz val="9"/>
            <color indexed="81"/>
            <rFont val="Tahoma"/>
            <family val="2"/>
          </rPr>
          <t>Oculto</t>
        </r>
      </text>
    </comment>
    <comment ref="BP29" authorId="1" shapeId="0">
      <text>
        <r>
          <rPr>
            <b/>
            <sz val="9"/>
            <color indexed="81"/>
            <rFont val="Tahoma"/>
            <family val="2"/>
          </rPr>
          <t>Oculto</t>
        </r>
      </text>
    </comment>
    <comment ref="BQ29" authorId="1" shapeId="0">
      <text>
        <r>
          <rPr>
            <b/>
            <sz val="9"/>
            <color indexed="81"/>
            <rFont val="Tahoma"/>
            <family val="2"/>
          </rPr>
          <t>Oculto</t>
        </r>
      </text>
    </comment>
    <comment ref="BR2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SDR</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charset val="1"/>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charset val="1"/>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I20" authorId="0" shapeId="0">
      <text>
        <r>
          <rPr>
            <b/>
            <sz val="9"/>
            <color indexed="81"/>
            <rFont val="Tahoma"/>
            <family val="2"/>
          </rPr>
          <t>Oculto</t>
        </r>
      </text>
    </comment>
    <comment ref="J20" authorId="0" shapeId="0">
      <text>
        <r>
          <rPr>
            <b/>
            <sz val="9"/>
            <color indexed="81"/>
            <rFont val="Tahoma"/>
            <family val="2"/>
          </rPr>
          <t>Oculto</t>
        </r>
      </text>
    </comment>
    <comment ref="P20" authorId="0" shapeId="0">
      <text>
        <r>
          <rPr>
            <b/>
            <sz val="9"/>
            <color indexed="81"/>
            <rFont val="Tahoma"/>
            <family val="2"/>
          </rPr>
          <t>Oculto</t>
        </r>
      </text>
    </comment>
    <comment ref="V20" authorId="0" shapeId="0">
      <text>
        <r>
          <rPr>
            <b/>
            <sz val="9"/>
            <color indexed="81"/>
            <rFont val="Tahoma"/>
            <family val="2"/>
          </rPr>
          <t>Oculto</t>
        </r>
      </text>
    </comment>
    <comment ref="D21" authorId="0" shapeId="0">
      <text>
        <r>
          <rPr>
            <b/>
            <sz val="9"/>
            <color indexed="81"/>
            <rFont val="Tahoma"/>
            <family val="2"/>
          </rPr>
          <t>Oculto</t>
        </r>
      </text>
    </comment>
    <comment ref="E21" authorId="0" shapeId="0">
      <text>
        <r>
          <rPr>
            <b/>
            <sz val="9"/>
            <color indexed="81"/>
            <rFont val="Tahoma"/>
            <family val="2"/>
          </rPr>
          <t>Oculto</t>
        </r>
      </text>
    </comment>
    <comment ref="H21" authorId="2" shapeId="0">
      <text>
        <r>
          <rPr>
            <b/>
            <sz val="9"/>
            <color indexed="81"/>
            <rFont val="Tahoma"/>
            <family val="2"/>
          </rPr>
          <t>Oculto
No ejecutan</t>
        </r>
      </text>
    </comment>
    <comment ref="I21" authorId="0" shapeId="0">
      <text>
        <r>
          <rPr>
            <b/>
            <sz val="9"/>
            <color indexed="81"/>
            <rFont val="Tahoma"/>
            <family val="2"/>
          </rPr>
          <t>Oculto
Ejecutan</t>
        </r>
      </text>
    </comment>
    <comment ref="J21" authorId="0" shapeId="0">
      <text>
        <r>
          <rPr>
            <b/>
            <sz val="9"/>
            <color indexed="81"/>
            <rFont val="Tahoma"/>
            <family val="2"/>
          </rPr>
          <t>Oculto</t>
        </r>
      </text>
    </comment>
    <comment ref="K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
No ejecutan</t>
        </r>
      </text>
    </comment>
    <comment ref="O21" authorId="0" shapeId="0">
      <text>
        <r>
          <rPr>
            <b/>
            <sz val="9"/>
            <color indexed="81"/>
            <rFont val="Tahoma"/>
            <family val="2"/>
          </rPr>
          <t>Oculto
No ejecutan</t>
        </r>
      </text>
    </comment>
    <comment ref="P21" authorId="0" shapeId="0">
      <text>
        <r>
          <rPr>
            <b/>
            <sz val="9"/>
            <color indexed="81"/>
            <rFont val="Tahoma"/>
            <family val="2"/>
          </rPr>
          <t>Oculto</t>
        </r>
      </text>
    </comment>
    <comment ref="Q21" authorId="0" shapeId="0">
      <text>
        <r>
          <rPr>
            <b/>
            <sz val="9"/>
            <color indexed="81"/>
            <rFont val="Tahoma"/>
            <family val="2"/>
          </rPr>
          <t>Oculto</t>
        </r>
      </text>
    </comment>
    <comment ref="R21" authorId="2" shapeId="0">
      <text>
        <r>
          <rPr>
            <b/>
            <sz val="9"/>
            <color indexed="81"/>
            <rFont val="Tahoma"/>
            <family val="2"/>
          </rPr>
          <t>Oculto
No ejecutan</t>
        </r>
      </text>
    </comment>
    <comment ref="V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t>
        </r>
      </text>
    </comment>
    <comment ref="AC21" authorId="0" shapeId="0">
      <text>
        <r>
          <rPr>
            <b/>
            <sz val="9"/>
            <color indexed="81"/>
            <rFont val="Tahoma"/>
            <family val="2"/>
          </rPr>
          <t>Oculto</t>
        </r>
      </text>
    </comment>
    <comment ref="AD21" authorId="0" shapeId="0">
      <text>
        <r>
          <rPr>
            <b/>
            <sz val="9"/>
            <color indexed="81"/>
            <rFont val="Tahoma"/>
            <family val="2"/>
          </rPr>
          <t>Oculto</t>
        </r>
      </text>
    </comment>
    <comment ref="AE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K21" authorId="0" shapeId="0">
      <text>
        <r>
          <rPr>
            <b/>
            <sz val="9"/>
            <color indexed="81"/>
            <rFont val="Tahoma"/>
            <family val="2"/>
          </rPr>
          <t>Oculto</t>
        </r>
      </text>
    </comment>
    <comment ref="AN21" authorId="0" shapeId="0">
      <text>
        <r>
          <rPr>
            <b/>
            <sz val="9"/>
            <color indexed="81"/>
            <rFont val="Tahoma"/>
            <family val="2"/>
          </rPr>
          <t>Oculto</t>
        </r>
      </text>
    </comment>
    <comment ref="AR21" authorId="0" shapeId="0">
      <text>
        <r>
          <rPr>
            <b/>
            <sz val="9"/>
            <color indexed="81"/>
            <rFont val="Tahoma"/>
            <family val="2"/>
          </rPr>
          <t>Oculto
No ejecutan</t>
        </r>
      </text>
    </comment>
    <comment ref="AS21" authorId="0" shapeId="0">
      <text>
        <r>
          <rPr>
            <b/>
            <sz val="9"/>
            <color indexed="81"/>
            <rFont val="Tahoma"/>
            <family val="2"/>
          </rPr>
          <t>Oculto</t>
        </r>
      </text>
    </comment>
    <comment ref="AT21" authorId="0" shapeId="0">
      <text>
        <r>
          <rPr>
            <b/>
            <sz val="9"/>
            <color indexed="81"/>
            <rFont val="Tahoma"/>
            <family val="2"/>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2" shapeId="0">
      <text>
        <r>
          <rPr>
            <b/>
            <sz val="9"/>
            <color indexed="81"/>
            <rFont val="Tahoma"/>
            <family val="2"/>
          </rPr>
          <t>Oculto</t>
        </r>
      </text>
    </comment>
    <comment ref="G22" authorId="0" shapeId="0">
      <text>
        <r>
          <rPr>
            <b/>
            <sz val="9"/>
            <color indexed="81"/>
            <rFont val="Tahoma"/>
            <family val="2"/>
          </rPr>
          <t>Oculto</t>
        </r>
      </text>
    </comment>
    <comment ref="J22" authorId="0" shapeId="0">
      <text>
        <r>
          <rPr>
            <b/>
            <sz val="9"/>
            <color indexed="81"/>
            <rFont val="Tahoma"/>
            <family val="2"/>
          </rPr>
          <t>Oculto</t>
        </r>
      </text>
    </comment>
    <comment ref="V22" authorId="0"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K25" authorId="0" shapeId="0">
      <text>
        <r>
          <rPr>
            <b/>
            <sz val="9"/>
            <color indexed="81"/>
            <rFont val="Tahoma"/>
            <family val="2"/>
          </rPr>
          <t>Oculto</t>
        </r>
      </text>
    </comment>
    <comment ref="L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O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V25" authorId="0" shapeId="0">
      <text>
        <r>
          <rPr>
            <b/>
            <sz val="9"/>
            <color indexed="81"/>
            <rFont val="Tahoma"/>
            <family val="2"/>
          </rPr>
          <t>Oculto</t>
        </r>
      </text>
    </comment>
    <comment ref="Y25" authorId="0" shapeId="0">
      <text>
        <r>
          <rPr>
            <b/>
            <sz val="9"/>
            <color indexed="81"/>
            <rFont val="Tahoma"/>
            <family val="2"/>
          </rPr>
          <t>Oculto</t>
        </r>
      </text>
    </comment>
    <comment ref="Z25" authorId="0" shapeId="0">
      <text>
        <r>
          <rPr>
            <b/>
            <sz val="9"/>
            <color indexed="81"/>
            <rFont val="Tahoma"/>
            <family val="2"/>
          </rPr>
          <t>Oculto</t>
        </r>
      </text>
    </comment>
    <comment ref="AD25" authorId="0" shapeId="0">
      <text>
        <r>
          <rPr>
            <b/>
            <sz val="9"/>
            <color indexed="81"/>
            <rFont val="Tahoma"/>
            <family val="2"/>
          </rPr>
          <t>Oculto</t>
        </r>
      </text>
    </comment>
    <comment ref="AE25" authorId="0" shapeId="0">
      <text>
        <r>
          <rPr>
            <b/>
            <sz val="9"/>
            <color indexed="81"/>
            <rFont val="Tahoma"/>
            <family val="2"/>
          </rPr>
          <t>Oculto</t>
        </r>
      </text>
    </comment>
    <comment ref="AQ25" authorId="0" shapeId="0">
      <text>
        <r>
          <rPr>
            <b/>
            <sz val="9"/>
            <color indexed="81"/>
            <rFont val="Tahoma"/>
            <family val="2"/>
          </rPr>
          <t>Oculto</t>
        </r>
      </text>
    </comment>
    <comment ref="AR25" authorId="0" shapeId="0">
      <text>
        <r>
          <rPr>
            <b/>
            <sz val="9"/>
            <color indexed="81"/>
            <rFont val="Tahoma"/>
            <family val="2"/>
          </rPr>
          <t>Oculto</t>
        </r>
      </text>
    </comment>
    <comment ref="AS25" authorId="0" shapeId="0">
      <text>
        <r>
          <rPr>
            <b/>
            <sz val="9"/>
            <color indexed="81"/>
            <rFont val="Tahoma"/>
            <family val="2"/>
          </rPr>
          <t>Oculto</t>
        </r>
      </text>
    </comment>
    <comment ref="AT25" authorId="0" shapeId="0">
      <text>
        <r>
          <rPr>
            <b/>
            <sz val="9"/>
            <color indexed="81"/>
            <rFont val="Tahoma"/>
            <family val="2"/>
          </rPr>
          <t>Oculto</t>
        </r>
      </text>
    </comment>
    <comment ref="AU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K28" authorId="0" shapeId="0">
      <text>
        <r>
          <rPr>
            <b/>
            <sz val="9"/>
            <color indexed="81"/>
            <rFont val="Tahoma"/>
            <family val="2"/>
          </rPr>
          <t>Oculto</t>
        </r>
      </text>
    </comment>
    <comment ref="L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
No Ejecutan</t>
        </r>
      </text>
    </comment>
    <comment ref="O28" authorId="0" shapeId="0">
      <text>
        <r>
          <rPr>
            <b/>
            <sz val="9"/>
            <color indexed="81"/>
            <rFont val="Tahoma"/>
            <family val="2"/>
          </rPr>
          <t>Oculto</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V28" authorId="0" shapeId="0">
      <text>
        <r>
          <rPr>
            <b/>
            <sz val="9"/>
            <color indexed="81"/>
            <rFont val="Tahoma"/>
            <family val="2"/>
          </rPr>
          <t>Oculto</t>
        </r>
      </text>
    </comment>
    <comment ref="Y28" authorId="0" shapeId="0">
      <text>
        <r>
          <rPr>
            <b/>
            <sz val="9"/>
            <color indexed="81"/>
            <rFont val="Tahoma"/>
            <family val="2"/>
          </rPr>
          <t>Oculto</t>
        </r>
      </text>
    </comment>
    <comment ref="Z28" authorId="0" shapeId="0">
      <text>
        <r>
          <rPr>
            <b/>
            <sz val="9"/>
            <color indexed="81"/>
            <rFont val="Tahoma"/>
            <family val="2"/>
          </rPr>
          <t>Oculto</t>
        </r>
      </text>
    </comment>
    <comment ref="AB28" authorId="0" shapeId="0">
      <text>
        <r>
          <rPr>
            <b/>
            <sz val="9"/>
            <color indexed="81"/>
            <rFont val="Tahoma"/>
            <family val="2"/>
          </rPr>
          <t>Oculto</t>
        </r>
      </text>
    </comment>
    <comment ref="AC28" authorId="0" shapeId="0">
      <text>
        <r>
          <rPr>
            <b/>
            <sz val="9"/>
            <color indexed="81"/>
            <rFont val="Tahoma"/>
            <family val="2"/>
          </rPr>
          <t>Oculto</t>
        </r>
      </text>
    </comment>
    <comment ref="AD28" authorId="0" shapeId="0">
      <text>
        <r>
          <rPr>
            <b/>
            <sz val="9"/>
            <color indexed="81"/>
            <rFont val="Tahoma"/>
            <family val="2"/>
          </rPr>
          <t>Oculto</t>
        </r>
      </text>
    </comment>
    <comment ref="AE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N28" authorId="0" shapeId="0">
      <text>
        <r>
          <rPr>
            <b/>
            <sz val="9"/>
            <color indexed="81"/>
            <rFont val="Tahoma"/>
            <family val="2"/>
          </rPr>
          <t>Oculto</t>
        </r>
      </text>
    </comment>
    <comment ref="AQ28" authorId="0" shapeId="0">
      <text>
        <r>
          <rPr>
            <b/>
            <sz val="9"/>
            <color indexed="81"/>
            <rFont val="Tahoma"/>
            <family val="2"/>
          </rPr>
          <t>Oculto</t>
        </r>
      </text>
    </comment>
    <comment ref="AR28" authorId="0" shapeId="0">
      <text>
        <r>
          <rPr>
            <b/>
            <sz val="9"/>
            <color indexed="81"/>
            <rFont val="Tahoma"/>
            <family val="2"/>
          </rPr>
          <t>Oculto</t>
        </r>
      </text>
    </comment>
    <comment ref="AS28" authorId="0" shapeId="0">
      <text>
        <r>
          <rPr>
            <b/>
            <sz val="9"/>
            <color indexed="81"/>
            <rFont val="Tahoma"/>
            <family val="2"/>
          </rPr>
          <t>Oculto</t>
        </r>
      </text>
    </comment>
    <comment ref="AT28" authorId="0" shapeId="0">
      <text>
        <r>
          <rPr>
            <b/>
            <sz val="9"/>
            <color indexed="81"/>
            <rFont val="Tahoma"/>
            <family val="2"/>
          </rPr>
          <t>Oculto</t>
        </r>
      </text>
    </comment>
    <comment ref="AU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O29" authorId="0" shapeId="0">
      <text>
        <r>
          <rPr>
            <b/>
            <sz val="9"/>
            <color indexed="81"/>
            <rFont val="Tahoma"/>
            <family val="2"/>
          </rPr>
          <t>Oculto</t>
        </r>
      </text>
    </comment>
    <comment ref="P29" authorId="0" shapeId="0">
      <text>
        <r>
          <rPr>
            <b/>
            <sz val="9"/>
            <color indexed="81"/>
            <rFont val="Tahoma"/>
            <family val="2"/>
          </rPr>
          <t>Oculto</t>
        </r>
      </text>
    </comment>
    <comment ref="Q29" authorId="0" shapeId="0">
      <text>
        <r>
          <rPr>
            <b/>
            <sz val="9"/>
            <color indexed="81"/>
            <rFont val="Tahoma"/>
            <family val="2"/>
          </rPr>
          <t>Oculto</t>
        </r>
      </text>
    </comment>
    <comment ref="V29" authorId="0" shapeId="0">
      <text>
        <r>
          <rPr>
            <b/>
            <sz val="9"/>
            <color indexed="81"/>
            <rFont val="Tahoma"/>
            <family val="2"/>
          </rPr>
          <t>Oculto</t>
        </r>
      </text>
    </comment>
    <comment ref="Y29" authorId="0" shapeId="0">
      <text>
        <r>
          <rPr>
            <b/>
            <sz val="9"/>
            <color indexed="81"/>
            <rFont val="Tahoma"/>
            <family val="2"/>
          </rPr>
          <t>Oculto</t>
        </r>
      </text>
    </comment>
    <comment ref="Z29" authorId="0" shapeId="0">
      <text>
        <r>
          <rPr>
            <b/>
            <sz val="9"/>
            <color indexed="81"/>
            <rFont val="Tahoma"/>
            <family val="2"/>
          </rPr>
          <t>Oculto</t>
        </r>
      </text>
    </comment>
    <comment ref="AA29" authorId="0" shapeId="0">
      <text>
        <r>
          <rPr>
            <b/>
            <sz val="9"/>
            <color indexed="81"/>
            <rFont val="Tahoma"/>
            <family val="2"/>
          </rPr>
          <t>Oculto</t>
        </r>
      </text>
    </comment>
    <comment ref="AB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N29" authorId="0" shapeId="0">
      <text>
        <r>
          <rPr>
            <b/>
            <sz val="9"/>
            <color indexed="81"/>
            <rFont val="Tahoma"/>
            <family val="2"/>
          </rPr>
          <t>Oculto</t>
        </r>
      </text>
    </comment>
    <comment ref="AP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T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X9" authorId="0" shapeId="0">
      <text>
        <r>
          <rPr>
            <b/>
            <sz val="9"/>
            <color indexed="81"/>
            <rFont val="Tahoma"/>
            <family val="2"/>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X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X11" authorId="0" shapeId="0">
      <text>
        <r>
          <rPr>
            <b/>
            <sz val="9"/>
            <color indexed="81"/>
            <rFont val="Tahoma"/>
            <family val="2"/>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X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X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X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X18" authorId="0" shapeId="0">
      <text>
        <r>
          <rPr>
            <b/>
            <sz val="9"/>
            <color indexed="81"/>
            <rFont val="Tahoma"/>
            <family val="2"/>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X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H20" authorId="0" shapeId="0">
      <text>
        <r>
          <rPr>
            <b/>
            <sz val="9"/>
            <color indexed="81"/>
            <rFont val="Tahoma"/>
            <family val="2"/>
          </rPr>
          <t>Oculto</t>
        </r>
      </text>
    </comment>
    <comment ref="J20" authorId="0" shapeId="0">
      <text>
        <r>
          <rPr>
            <b/>
            <sz val="9"/>
            <color indexed="81"/>
            <rFont val="Tahoma"/>
            <family val="2"/>
          </rPr>
          <t>Oculto</t>
        </r>
      </text>
    </comment>
    <comment ref="K20" authorId="0" shapeId="0">
      <text>
        <r>
          <rPr>
            <b/>
            <sz val="9"/>
            <color indexed="81"/>
            <rFont val="Tahoma"/>
            <family val="2"/>
          </rPr>
          <t>Oculto</t>
        </r>
      </text>
    </comment>
    <comment ref="L20" authorId="0" shapeId="0">
      <text>
        <r>
          <rPr>
            <b/>
            <sz val="9"/>
            <color indexed="81"/>
            <rFont val="Tahoma"/>
            <family val="2"/>
          </rPr>
          <t>Oculto</t>
        </r>
      </text>
    </comment>
    <comment ref="M20" authorId="0" shapeId="0">
      <text>
        <r>
          <rPr>
            <b/>
            <sz val="9"/>
            <color indexed="81"/>
            <rFont val="Tahoma"/>
            <family val="2"/>
          </rPr>
          <t>Oculto</t>
        </r>
      </text>
    </comment>
    <comment ref="N20" authorId="0" shapeId="0">
      <text>
        <r>
          <rPr>
            <b/>
            <sz val="9"/>
            <color indexed="81"/>
            <rFont val="Tahoma"/>
            <family val="2"/>
          </rPr>
          <t>Oculto</t>
        </r>
      </text>
    </comment>
    <comment ref="O20" authorId="0" shapeId="0">
      <text>
        <r>
          <rPr>
            <b/>
            <sz val="9"/>
            <color indexed="81"/>
            <rFont val="Tahoma"/>
            <family val="2"/>
          </rPr>
          <t>Oculto</t>
        </r>
      </text>
    </comment>
    <comment ref="P20" authorId="0" shapeId="0">
      <text>
        <r>
          <rPr>
            <b/>
            <sz val="9"/>
            <color indexed="81"/>
            <rFont val="Tahoma"/>
            <family val="2"/>
          </rPr>
          <t>Oculto</t>
        </r>
      </text>
    </comment>
    <comment ref="Q20" authorId="0" shapeId="0">
      <text>
        <r>
          <rPr>
            <b/>
            <sz val="9"/>
            <color indexed="81"/>
            <rFont val="Tahoma"/>
            <family val="2"/>
          </rPr>
          <t>Oculto</t>
        </r>
      </text>
    </comment>
    <comment ref="R20" authorId="0" shapeId="0">
      <text>
        <r>
          <rPr>
            <b/>
            <sz val="9"/>
            <color indexed="81"/>
            <rFont val="Tahoma"/>
            <family val="2"/>
          </rPr>
          <t>Oculto</t>
        </r>
      </text>
    </comment>
    <comment ref="Z20" authorId="0" shapeId="0">
      <text>
        <r>
          <rPr>
            <b/>
            <sz val="9"/>
            <color indexed="81"/>
            <rFont val="Tahoma"/>
            <family val="2"/>
          </rPr>
          <t>Oculto</t>
        </r>
      </text>
    </comment>
    <comment ref="AB20" authorId="0" shapeId="0">
      <text>
        <r>
          <rPr>
            <b/>
            <sz val="9"/>
            <color indexed="81"/>
            <rFont val="Tahoma"/>
            <family val="2"/>
          </rPr>
          <t>Oculto</t>
        </r>
      </text>
    </comment>
    <comment ref="AC20" authorId="0" shapeId="0">
      <text>
        <r>
          <rPr>
            <b/>
            <sz val="9"/>
            <color indexed="81"/>
            <rFont val="Tahoma"/>
            <family val="2"/>
          </rPr>
          <t>Oculto</t>
        </r>
      </text>
    </comment>
    <comment ref="AD20" authorId="0" shapeId="0">
      <text>
        <r>
          <rPr>
            <b/>
            <sz val="9"/>
            <color indexed="81"/>
            <rFont val="Tahoma"/>
            <family val="2"/>
          </rPr>
          <t>Oculto</t>
        </r>
      </text>
    </comment>
    <comment ref="AE20" authorId="0" shapeId="0">
      <text>
        <r>
          <rPr>
            <b/>
            <sz val="9"/>
            <color indexed="81"/>
            <rFont val="Tahoma"/>
            <family val="2"/>
          </rPr>
          <t>Oculto</t>
        </r>
      </text>
    </comment>
    <comment ref="AF20" authorId="0" shapeId="0">
      <text>
        <r>
          <rPr>
            <b/>
            <sz val="9"/>
            <color indexed="81"/>
            <rFont val="Tahoma"/>
            <family val="2"/>
          </rPr>
          <t>Oculto</t>
        </r>
      </text>
    </comment>
    <comment ref="AG20" authorId="0" shapeId="0">
      <text>
        <r>
          <rPr>
            <b/>
            <sz val="9"/>
            <color indexed="81"/>
            <rFont val="Tahoma"/>
            <family val="2"/>
          </rPr>
          <t>Oculto</t>
        </r>
      </text>
    </comment>
    <comment ref="AH20" authorId="0" shapeId="0">
      <text>
        <r>
          <rPr>
            <b/>
            <sz val="9"/>
            <color indexed="81"/>
            <rFont val="Tahoma"/>
            <family val="2"/>
          </rPr>
          <t>Oculto</t>
        </r>
      </text>
    </comment>
    <comment ref="AI20" authorId="0" shapeId="0">
      <text>
        <r>
          <rPr>
            <b/>
            <sz val="9"/>
            <color indexed="81"/>
            <rFont val="Tahoma"/>
            <family val="2"/>
          </rPr>
          <t>Oculto</t>
        </r>
      </text>
    </comment>
    <comment ref="AJ20" authorId="0" shapeId="0">
      <text>
        <r>
          <rPr>
            <b/>
            <sz val="9"/>
            <color indexed="81"/>
            <rFont val="Tahoma"/>
            <family val="2"/>
          </rPr>
          <t>Oculto</t>
        </r>
      </text>
    </comment>
    <comment ref="AK20" authorId="0" shapeId="0">
      <text>
        <r>
          <rPr>
            <b/>
            <sz val="9"/>
            <color indexed="81"/>
            <rFont val="Tahoma"/>
            <family val="2"/>
          </rPr>
          <t>Oculto</t>
        </r>
      </text>
    </comment>
    <comment ref="AM20" authorId="0" shapeId="0">
      <text>
        <r>
          <rPr>
            <b/>
            <sz val="9"/>
            <color indexed="81"/>
            <rFont val="Tahoma"/>
            <family val="2"/>
          </rPr>
          <t>Oculto</t>
        </r>
      </text>
    </comment>
    <comment ref="AN20" authorId="0" shapeId="0">
      <text>
        <r>
          <rPr>
            <b/>
            <sz val="9"/>
            <color indexed="81"/>
            <rFont val="Tahoma"/>
            <family val="2"/>
          </rPr>
          <t>Oculto</t>
        </r>
      </text>
    </comment>
    <comment ref="AQ20" authorId="0" shapeId="0">
      <text>
        <r>
          <rPr>
            <b/>
            <sz val="9"/>
            <color indexed="81"/>
            <rFont val="Tahoma"/>
            <family val="2"/>
          </rPr>
          <t>Oculto</t>
        </r>
      </text>
    </comment>
    <comment ref="AR20" authorId="0" shapeId="0">
      <text>
        <r>
          <rPr>
            <b/>
            <sz val="9"/>
            <color indexed="81"/>
            <rFont val="Tahoma"/>
            <family val="2"/>
          </rPr>
          <t>Oculto</t>
        </r>
      </text>
    </comment>
    <comment ref="AT20" authorId="0" shapeId="0">
      <text>
        <r>
          <rPr>
            <b/>
            <sz val="9"/>
            <color indexed="81"/>
            <rFont val="Tahoma"/>
            <family val="2"/>
          </rPr>
          <t>Oculto</t>
        </r>
      </text>
    </comment>
    <comment ref="AU20" authorId="0" shapeId="0">
      <text>
        <r>
          <rPr>
            <b/>
            <sz val="9"/>
            <color indexed="81"/>
            <rFont val="Tahoma"/>
            <family val="2"/>
          </rPr>
          <t>Oculto</t>
        </r>
      </text>
    </comment>
    <comment ref="AV20" authorId="0" shapeId="0">
      <text>
        <r>
          <rPr>
            <b/>
            <sz val="9"/>
            <color indexed="81"/>
            <rFont val="Tahoma"/>
            <family val="2"/>
          </rPr>
          <t>Oculto</t>
        </r>
      </text>
    </comment>
    <comment ref="AX20" authorId="0" shapeId="0">
      <text>
        <r>
          <rPr>
            <b/>
            <sz val="9"/>
            <color indexed="81"/>
            <rFont val="Tahoma"/>
            <family val="2"/>
          </rPr>
          <t>Oculto</t>
        </r>
      </text>
    </comment>
    <comment ref="AY20" authorId="0" shapeId="0">
      <text>
        <r>
          <rPr>
            <b/>
            <sz val="9"/>
            <color indexed="81"/>
            <rFont val="Tahoma"/>
            <family val="2"/>
          </rPr>
          <t>Oculto</t>
        </r>
      </text>
    </comment>
    <comment ref="AZ20" authorId="0" shapeId="0">
      <text>
        <r>
          <rPr>
            <b/>
            <sz val="9"/>
            <color indexed="81"/>
            <rFont val="Tahoma"/>
            <family val="2"/>
          </rPr>
          <t>Oculto</t>
        </r>
      </text>
    </comment>
    <comment ref="D21" authorId="0" shapeId="0">
      <text>
        <r>
          <rPr>
            <b/>
            <sz val="9"/>
            <color indexed="81"/>
            <rFont val="Tahoma"/>
            <family val="2"/>
          </rPr>
          <t>Oculto</t>
        </r>
      </text>
    </comment>
    <comment ref="E21" authorId="0" shapeId="0">
      <text>
        <r>
          <rPr>
            <b/>
            <sz val="9"/>
            <color indexed="81"/>
            <rFont val="Tahoma"/>
            <family val="2"/>
          </rPr>
          <t>Oculto</t>
        </r>
      </text>
    </comment>
    <comment ref="F21" authorId="0" shapeId="0">
      <text>
        <r>
          <rPr>
            <b/>
            <sz val="9"/>
            <color indexed="81"/>
            <rFont val="Tahoma"/>
            <family val="2"/>
          </rPr>
          <t>Oculto</t>
        </r>
      </text>
    </comment>
    <comment ref="I21" authorId="0" shapeId="0">
      <text>
        <r>
          <rPr>
            <b/>
            <sz val="9"/>
            <color indexed="81"/>
            <rFont val="Tahoma"/>
            <family val="2"/>
          </rPr>
          <t>Oculto</t>
        </r>
      </text>
    </comment>
    <comment ref="J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t>
        </r>
      </text>
    </comment>
    <comment ref="O21" authorId="0" shapeId="0">
      <text>
        <r>
          <rPr>
            <b/>
            <sz val="9"/>
            <color indexed="81"/>
            <rFont val="Tahoma"/>
            <family val="2"/>
          </rPr>
          <t>Oculto
No ejecutan</t>
        </r>
      </text>
    </comment>
    <comment ref="P21" authorId="0" shapeId="0">
      <text>
        <r>
          <rPr>
            <b/>
            <sz val="9"/>
            <color indexed="81"/>
            <rFont val="Tahoma"/>
            <family val="2"/>
          </rPr>
          <t>Oculto
No ejecutan</t>
        </r>
      </text>
    </comment>
    <comment ref="Q21" authorId="0" shapeId="0">
      <text>
        <r>
          <rPr>
            <b/>
            <sz val="9"/>
            <color indexed="81"/>
            <rFont val="Tahoma"/>
            <family val="2"/>
          </rPr>
          <t>Oculto</t>
        </r>
      </text>
    </comment>
    <comment ref="R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J21" authorId="0" shapeId="0">
      <text>
        <r>
          <rPr>
            <b/>
            <sz val="9"/>
            <color indexed="81"/>
            <rFont val="Tahoma"/>
            <family val="2"/>
          </rPr>
          <t>Oculto</t>
        </r>
      </text>
    </comment>
    <comment ref="AL21" authorId="0" shapeId="0">
      <text>
        <r>
          <rPr>
            <b/>
            <sz val="9"/>
            <color indexed="81"/>
            <rFont val="Tahoma"/>
            <family val="2"/>
          </rPr>
          <t>Oculto</t>
        </r>
      </text>
    </comment>
    <comment ref="AT21" authorId="0" shapeId="0">
      <text>
        <r>
          <rPr>
            <b/>
            <sz val="9"/>
            <color indexed="81"/>
            <rFont val="Tahoma"/>
            <family val="2"/>
          </rPr>
          <t>Oculto
No ejecutan</t>
        </r>
      </text>
    </comment>
    <comment ref="AU21" authorId="0" shapeId="0">
      <text>
        <r>
          <rPr>
            <b/>
            <sz val="9"/>
            <color indexed="81"/>
            <rFont val="Tahoma"/>
            <family val="2"/>
          </rPr>
          <t>Oculto</t>
        </r>
      </text>
    </comment>
    <comment ref="AV21" authorId="0" shapeId="0">
      <text>
        <r>
          <rPr>
            <b/>
            <sz val="9"/>
            <color indexed="81"/>
            <rFont val="Tahoma"/>
            <family val="2"/>
          </rPr>
          <t>Oculto</t>
        </r>
      </text>
    </comment>
    <comment ref="AX21" authorId="0" shapeId="0">
      <text>
        <r>
          <rPr>
            <b/>
            <sz val="9"/>
            <color indexed="81"/>
            <rFont val="Tahoma"/>
            <family val="2"/>
          </rPr>
          <t>Oculto
No ejecutan</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0" shapeId="0">
      <text>
        <r>
          <rPr>
            <b/>
            <sz val="9"/>
            <color indexed="81"/>
            <rFont val="Tahoma"/>
            <family val="2"/>
          </rPr>
          <t>Oculto</t>
        </r>
      </text>
    </comment>
    <comment ref="G22" authorId="0" shapeId="0">
      <text>
        <r>
          <rPr>
            <b/>
            <sz val="9"/>
            <color indexed="81"/>
            <rFont val="Tahoma"/>
            <family val="2"/>
          </rPr>
          <t>Oculto</t>
        </r>
      </text>
    </comment>
    <comment ref="H22" authorId="0" shapeId="0">
      <text>
        <r>
          <rPr>
            <b/>
            <sz val="9"/>
            <color indexed="81"/>
            <rFont val="Tahoma"/>
            <family val="2"/>
          </rPr>
          <t>Oculto</t>
        </r>
      </text>
    </comment>
    <comment ref="I22" authorId="0" shapeId="0">
      <text>
        <r>
          <rPr>
            <b/>
            <sz val="9"/>
            <color indexed="81"/>
            <rFont val="Tahoma"/>
            <family val="2"/>
          </rPr>
          <t>Oculto</t>
        </r>
      </text>
    </comment>
    <comment ref="J22" authorId="0" shapeId="0">
      <text>
        <r>
          <rPr>
            <b/>
            <sz val="9"/>
            <color indexed="81"/>
            <rFont val="Tahoma"/>
            <family val="2"/>
          </rPr>
          <t>Oculto</t>
        </r>
      </text>
    </comment>
    <comment ref="K22" authorId="0" shapeId="0">
      <text>
        <r>
          <rPr>
            <b/>
            <sz val="9"/>
            <color indexed="81"/>
            <rFont val="Tahoma"/>
            <family val="2"/>
          </rPr>
          <t>Oculto</t>
        </r>
      </text>
    </comment>
    <comment ref="L22" authorId="0" shapeId="0">
      <text>
        <r>
          <rPr>
            <b/>
            <sz val="9"/>
            <color indexed="81"/>
            <rFont val="Tahoma"/>
            <family val="2"/>
          </rPr>
          <t>Oculto</t>
        </r>
      </text>
    </comment>
    <comment ref="M22" authorId="0" shapeId="0">
      <text>
        <r>
          <rPr>
            <b/>
            <sz val="9"/>
            <color indexed="81"/>
            <rFont val="Tahoma"/>
            <family val="2"/>
          </rPr>
          <t>Oculto</t>
        </r>
      </text>
    </comment>
    <comment ref="N22" authorId="0" shapeId="0">
      <text>
        <r>
          <rPr>
            <b/>
            <sz val="9"/>
            <color indexed="81"/>
            <rFont val="Tahoma"/>
            <family val="2"/>
          </rPr>
          <t>Oculto</t>
        </r>
      </text>
    </comment>
    <comment ref="Q22" authorId="0" shapeId="0">
      <text>
        <r>
          <rPr>
            <b/>
            <sz val="9"/>
            <color indexed="81"/>
            <rFont val="Tahoma"/>
            <family val="2"/>
          </rPr>
          <t>Oculto</t>
        </r>
      </text>
    </comment>
    <comment ref="R22" authorId="0" shapeId="0">
      <text>
        <r>
          <rPr>
            <b/>
            <sz val="9"/>
            <color indexed="81"/>
            <rFont val="Tahoma"/>
            <family val="2"/>
          </rPr>
          <t>Oculto</t>
        </r>
      </text>
    </comment>
    <comment ref="Y22" authorId="0" shapeId="0">
      <text>
        <r>
          <rPr>
            <b/>
            <sz val="9"/>
            <color indexed="81"/>
            <rFont val="Tahoma"/>
            <family val="2"/>
          </rPr>
          <t>Oculto</t>
        </r>
      </text>
    </comment>
    <comment ref="AA22" authorId="0" shapeId="0">
      <text>
        <r>
          <rPr>
            <b/>
            <sz val="9"/>
            <color indexed="81"/>
            <rFont val="Tahoma"/>
            <family val="2"/>
          </rPr>
          <t>Oculto</t>
        </r>
      </text>
    </comment>
    <comment ref="AC22" authorId="0" shapeId="0">
      <text>
        <r>
          <rPr>
            <b/>
            <sz val="9"/>
            <color indexed="81"/>
            <rFont val="Tahoma"/>
            <family val="2"/>
          </rPr>
          <t>Oculto</t>
        </r>
      </text>
    </comment>
    <comment ref="AD22" authorId="0" shapeId="0">
      <text>
        <r>
          <rPr>
            <b/>
            <sz val="9"/>
            <color indexed="81"/>
            <rFont val="Tahoma"/>
            <family val="2"/>
          </rPr>
          <t>Oculto</t>
        </r>
      </text>
    </comment>
    <comment ref="AE22" authorId="0" shapeId="0">
      <text>
        <r>
          <rPr>
            <b/>
            <sz val="9"/>
            <color indexed="81"/>
            <rFont val="Tahoma"/>
            <family val="2"/>
          </rPr>
          <t>Oculto</t>
        </r>
      </text>
    </comment>
    <comment ref="AF22" authorId="0" shapeId="0">
      <text>
        <r>
          <rPr>
            <b/>
            <sz val="9"/>
            <color indexed="81"/>
            <rFont val="Tahoma"/>
            <family val="2"/>
          </rPr>
          <t>Oculto</t>
        </r>
      </text>
    </comment>
    <comment ref="AG22" authorId="0" shapeId="0">
      <text>
        <r>
          <rPr>
            <b/>
            <sz val="9"/>
            <color indexed="81"/>
            <rFont val="Tahoma"/>
            <family val="2"/>
          </rPr>
          <t>Oculto</t>
        </r>
      </text>
    </comment>
    <comment ref="AH22" authorId="0" shapeId="0">
      <text>
        <r>
          <rPr>
            <b/>
            <sz val="9"/>
            <color indexed="81"/>
            <rFont val="Tahoma"/>
            <family val="2"/>
          </rPr>
          <t>Oculto</t>
        </r>
      </text>
    </comment>
    <comment ref="AI22" authorId="0" shapeId="0">
      <text>
        <r>
          <rPr>
            <b/>
            <sz val="9"/>
            <color indexed="81"/>
            <rFont val="Tahoma"/>
            <family val="2"/>
          </rPr>
          <t>Oculto</t>
        </r>
      </text>
    </comment>
    <comment ref="AJ22" authorId="0" shapeId="0">
      <text>
        <r>
          <rPr>
            <b/>
            <sz val="9"/>
            <color indexed="81"/>
            <rFont val="Tahoma"/>
            <family val="2"/>
          </rPr>
          <t>Oculto</t>
        </r>
      </text>
    </comment>
    <comment ref="AK22" authorId="0" shapeId="0">
      <text>
        <r>
          <rPr>
            <b/>
            <sz val="9"/>
            <color indexed="81"/>
            <rFont val="Tahoma"/>
            <family val="2"/>
          </rPr>
          <t>Oculto</t>
        </r>
      </text>
    </comment>
    <comment ref="AM22" authorId="0" shapeId="0">
      <text>
        <r>
          <rPr>
            <b/>
            <sz val="9"/>
            <color indexed="81"/>
            <rFont val="Tahoma"/>
            <family val="2"/>
          </rPr>
          <t>Oculto</t>
        </r>
      </text>
    </comment>
    <comment ref="AN22" authorId="0" shapeId="0">
      <text>
        <r>
          <rPr>
            <b/>
            <sz val="9"/>
            <color indexed="81"/>
            <rFont val="Tahoma"/>
            <family val="2"/>
          </rPr>
          <t>Oculto</t>
        </r>
      </text>
    </comment>
    <comment ref="AQ22" authorId="0" shapeId="0">
      <text>
        <r>
          <rPr>
            <b/>
            <sz val="9"/>
            <color indexed="81"/>
            <rFont val="Tahoma"/>
            <family val="2"/>
          </rPr>
          <t>Oculto</t>
        </r>
      </text>
    </comment>
    <comment ref="AR22" authorId="0" shapeId="0">
      <text>
        <r>
          <rPr>
            <b/>
            <sz val="9"/>
            <color indexed="81"/>
            <rFont val="Tahoma"/>
            <family val="2"/>
          </rPr>
          <t>Oculto</t>
        </r>
      </text>
    </comment>
    <comment ref="AS22" authorId="0" shapeId="0">
      <text>
        <r>
          <rPr>
            <b/>
            <sz val="9"/>
            <color indexed="81"/>
            <rFont val="Tahoma"/>
            <family val="2"/>
          </rPr>
          <t>Oculto</t>
        </r>
      </text>
    </comment>
    <comment ref="AU22" authorId="0" shapeId="0">
      <text>
        <r>
          <rPr>
            <b/>
            <sz val="9"/>
            <color indexed="81"/>
            <rFont val="Tahoma"/>
            <family val="2"/>
          </rPr>
          <t>Oculto</t>
        </r>
      </text>
    </comment>
    <comment ref="AV22" authorId="0" shapeId="0">
      <text>
        <r>
          <rPr>
            <b/>
            <sz val="9"/>
            <color indexed="81"/>
            <rFont val="Tahoma"/>
            <family val="2"/>
          </rPr>
          <t>Oculto</t>
        </r>
      </text>
    </comment>
    <comment ref="AW22" authorId="0" shapeId="0">
      <text>
        <r>
          <rPr>
            <b/>
            <sz val="9"/>
            <color indexed="81"/>
            <rFont val="Tahoma"/>
            <family val="2"/>
          </rPr>
          <t>Oculto</t>
        </r>
      </text>
    </comment>
    <comment ref="AY22" authorId="0" shapeId="0">
      <text>
        <r>
          <rPr>
            <b/>
            <sz val="9"/>
            <color indexed="81"/>
            <rFont val="Tahoma"/>
            <family val="2"/>
          </rPr>
          <t>Oculto</t>
        </r>
      </text>
    </comment>
    <comment ref="Z23" authorId="1"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G25" authorId="0"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R25" authorId="0" shapeId="0">
      <text>
        <r>
          <rPr>
            <b/>
            <sz val="9"/>
            <color indexed="81"/>
            <rFont val="Tahoma"/>
            <family val="2"/>
          </rPr>
          <t>Oculto</t>
        </r>
      </text>
    </comment>
    <comment ref="S25" authorId="0" shapeId="0">
      <text>
        <r>
          <rPr>
            <b/>
            <sz val="9"/>
            <color indexed="81"/>
            <rFont val="Tahoma"/>
            <family val="2"/>
          </rPr>
          <t>Oculto</t>
        </r>
      </text>
    </comment>
    <comment ref="AQ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AX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t>
        </r>
      </text>
    </comment>
    <comment ref="O28" authorId="0" shapeId="0">
      <text>
        <r>
          <rPr>
            <b/>
            <sz val="9"/>
            <color indexed="81"/>
            <rFont val="Tahoma"/>
            <family val="2"/>
          </rPr>
          <t>Oculto
No Ejecutan</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R28" authorId="0" shapeId="0">
      <text>
        <r>
          <rPr>
            <b/>
            <sz val="9"/>
            <color indexed="81"/>
            <rFont val="Tahoma"/>
            <family val="2"/>
          </rPr>
          <t>Oculto</t>
        </r>
      </text>
    </comment>
    <comment ref="S28" authorId="0" shapeId="0">
      <text>
        <r>
          <rPr>
            <b/>
            <sz val="9"/>
            <color indexed="81"/>
            <rFont val="Tahoma"/>
            <family val="2"/>
          </rPr>
          <t>Oculto</t>
        </r>
      </text>
    </comment>
    <comment ref="Z28" authorId="0" shapeId="0">
      <text>
        <r>
          <rPr>
            <b/>
            <sz val="9"/>
            <color indexed="81"/>
            <rFont val="Tahoma"/>
            <family val="2"/>
          </rPr>
          <t>Oculto
No Ejecutan</t>
        </r>
      </text>
    </comment>
    <comment ref="AB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J28" authorId="0" shapeId="0">
      <text>
        <r>
          <rPr>
            <b/>
            <sz val="9"/>
            <color indexed="81"/>
            <rFont val="Tahoma"/>
            <family val="2"/>
          </rPr>
          <t>Oculto</t>
        </r>
      </text>
    </comment>
    <comment ref="AQ28" authorId="0" shapeId="0">
      <text>
        <r>
          <rPr>
            <b/>
            <sz val="9"/>
            <color indexed="81"/>
            <rFont val="Tahoma"/>
            <family val="2"/>
          </rPr>
          <t>Oculto</t>
        </r>
      </text>
    </comment>
    <comment ref="AT28" authorId="0" shapeId="0">
      <text>
        <r>
          <rPr>
            <b/>
            <sz val="9"/>
            <color indexed="81"/>
            <rFont val="Tahoma"/>
            <family val="2"/>
          </rPr>
          <t>Oculto
No Ejecutan</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AX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F29" authorId="0"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N29" authorId="0" shapeId="0">
      <text>
        <r>
          <rPr>
            <b/>
            <sz val="9"/>
            <color indexed="81"/>
            <rFont val="Tahoma"/>
            <family val="2"/>
          </rPr>
          <t>Oculto</t>
        </r>
      </text>
    </comment>
    <comment ref="Q29" authorId="0" shapeId="0">
      <text>
        <r>
          <rPr>
            <b/>
            <sz val="9"/>
            <color indexed="81"/>
            <rFont val="Tahoma"/>
            <family val="2"/>
          </rPr>
          <t>Oculto</t>
        </r>
      </text>
    </comment>
    <comment ref="R29" authorId="0" shapeId="0">
      <text>
        <r>
          <rPr>
            <b/>
            <sz val="9"/>
            <color indexed="81"/>
            <rFont val="Tahoma"/>
            <family val="2"/>
          </rPr>
          <t>Oculto</t>
        </r>
      </text>
    </comment>
    <comment ref="S29" authorId="0" shapeId="0">
      <text>
        <r>
          <rPr>
            <b/>
            <sz val="9"/>
            <color indexed="81"/>
            <rFont val="Tahoma"/>
            <family val="2"/>
          </rPr>
          <t>Oculto</t>
        </r>
      </text>
    </comment>
    <comment ref="Y29" authorId="0" shapeId="0">
      <text>
        <r>
          <rPr>
            <b/>
            <sz val="9"/>
            <color indexed="81"/>
            <rFont val="Tahoma"/>
            <family val="2"/>
          </rPr>
          <t>Oculto</t>
        </r>
      </text>
    </comment>
    <comment ref="AA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E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K29" authorId="0" shapeId="0">
      <text>
        <r>
          <rPr>
            <b/>
            <sz val="9"/>
            <color indexed="81"/>
            <rFont val="Tahoma"/>
            <family val="2"/>
          </rPr>
          <t>Oculto</t>
        </r>
      </text>
    </comment>
    <comment ref="AO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 ref="AX29" authorId="0" shapeId="0">
      <text>
        <r>
          <rPr>
            <b/>
            <sz val="9"/>
            <color indexed="81"/>
            <rFont val="Tahoma"/>
            <family val="2"/>
          </rPr>
          <t>Oculto</t>
        </r>
      </text>
    </comment>
    <comment ref="AY29" authorId="0"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B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B11" authorId="1" shapeId="0">
      <text>
        <r>
          <rPr>
            <b/>
            <sz val="9"/>
            <color indexed="81"/>
            <rFont val="Tahoma"/>
            <family val="2"/>
          </rPr>
          <t>Oculto</t>
        </r>
      </text>
    </comment>
    <comment ref="BC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B12" authorId="1"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B13" authorId="1" shapeId="0">
      <text>
        <r>
          <rPr>
            <b/>
            <sz val="9"/>
            <color indexed="81"/>
            <rFont val="Tahoma"/>
            <family val="2"/>
          </rPr>
          <t>Oculto</t>
        </r>
      </text>
    </comment>
    <comment ref="BC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B16" authorId="1" shapeId="0">
      <text>
        <r>
          <rPr>
            <b/>
            <sz val="9"/>
            <color indexed="81"/>
            <rFont val="Tahoma"/>
            <family val="2"/>
          </rPr>
          <t>Oculto</t>
        </r>
      </text>
    </comment>
    <comment ref="BC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B17" authorId="1" shapeId="0">
      <text>
        <r>
          <rPr>
            <b/>
            <sz val="9"/>
            <color indexed="81"/>
            <rFont val="Tahoma"/>
            <family val="2"/>
          </rPr>
          <t>Oculto</t>
        </r>
      </text>
    </comment>
    <comment ref="BC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B18" authorId="1" shapeId="0">
      <text>
        <r>
          <rPr>
            <b/>
            <sz val="9"/>
            <color indexed="81"/>
            <rFont val="Tahoma"/>
            <family val="2"/>
          </rPr>
          <t>Oculto</t>
        </r>
      </text>
    </comment>
    <comment ref="BC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B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E20" authorId="1" shapeId="0">
      <text>
        <r>
          <rPr>
            <b/>
            <sz val="9"/>
            <color indexed="81"/>
            <rFont val="Tahoma"/>
            <family val="2"/>
          </rPr>
          <t>Oculto</t>
        </r>
      </text>
    </comment>
    <comment ref="F20" authorId="1" shapeId="0">
      <text>
        <r>
          <rPr>
            <b/>
            <sz val="9"/>
            <color indexed="81"/>
            <rFont val="Tahoma"/>
            <family val="2"/>
          </rPr>
          <t>Oculto</t>
        </r>
      </text>
    </comment>
    <comment ref="I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Y20" authorId="1" shapeId="0">
      <text>
        <r>
          <rPr>
            <b/>
            <sz val="9"/>
            <color indexed="81"/>
            <rFont val="Tahoma"/>
            <family val="2"/>
          </rPr>
          <t>Oculto</t>
        </r>
      </text>
    </comment>
    <comment ref="AD20" authorId="1" shapeId="0">
      <text>
        <r>
          <rPr>
            <b/>
            <sz val="9"/>
            <color indexed="81"/>
            <rFont val="Tahoma"/>
            <family val="2"/>
          </rPr>
          <t>Oculto</t>
        </r>
      </text>
    </comment>
    <comment ref="AE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1"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Y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D20" authorId="1" shapeId="0">
      <text>
        <r>
          <rPr>
            <b/>
            <sz val="9"/>
            <color indexed="81"/>
            <rFont val="Tahoma"/>
            <family val="2"/>
          </rPr>
          <t>Oculto</t>
        </r>
      </text>
    </comment>
    <comment ref="D21" authorId="1" shapeId="0">
      <text>
        <r>
          <rPr>
            <b/>
            <sz val="9"/>
            <color indexed="81"/>
            <rFont val="Tahoma"/>
            <family val="2"/>
          </rPr>
          <t>Oculto</t>
        </r>
      </text>
    </comment>
    <comment ref="E21" authorId="1" shapeId="0">
      <text>
        <r>
          <rPr>
            <b/>
            <sz val="9"/>
            <color indexed="81"/>
            <rFont val="Tahoma"/>
            <family val="2"/>
          </rPr>
          <t>Oculto</t>
        </r>
      </text>
    </comment>
    <comment ref="F21" authorId="1" shapeId="0">
      <text>
        <r>
          <rPr>
            <b/>
            <sz val="9"/>
            <color indexed="81"/>
            <rFont val="Tahoma"/>
            <family val="2"/>
          </rPr>
          <t>Oculto</t>
        </r>
      </text>
    </comment>
    <comment ref="H21" authorId="1" shapeId="0">
      <text>
        <r>
          <rPr>
            <b/>
            <sz val="9"/>
            <color indexed="81"/>
            <rFont val="Tahoma"/>
            <family val="2"/>
          </rPr>
          <t>Oculto</t>
        </r>
      </text>
    </comment>
    <comment ref="I21" authorId="1" shapeId="0">
      <text>
        <r>
          <rPr>
            <b/>
            <sz val="9"/>
            <color indexed="81"/>
            <rFont val="Tahoma"/>
            <family val="2"/>
          </rPr>
          <t>Oculto</t>
        </r>
      </text>
    </comment>
    <comment ref="L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
No ejecutan</t>
        </r>
      </text>
    </comment>
    <comment ref="O21" authorId="1" shapeId="0">
      <text>
        <r>
          <rPr>
            <b/>
            <sz val="9"/>
            <color indexed="81"/>
            <rFont val="Tahoma"/>
            <family val="2"/>
          </rPr>
          <t>Oculto
No ejecutan</t>
        </r>
      </text>
    </comment>
    <comment ref="P21" authorId="1" shapeId="0">
      <text>
        <r>
          <rPr>
            <b/>
            <sz val="9"/>
            <color indexed="81"/>
            <rFont val="Tahoma"/>
            <family val="2"/>
          </rPr>
          <t>Oculto
No ejecutan</t>
        </r>
      </text>
    </comment>
    <comment ref="Q21" authorId="1" shapeId="0">
      <text>
        <r>
          <rPr>
            <b/>
            <sz val="9"/>
            <color indexed="81"/>
            <rFont val="Tahoma"/>
            <family val="2"/>
          </rPr>
          <t>Oculto</t>
        </r>
      </text>
    </comment>
    <comment ref="R21" authorId="1" shapeId="0">
      <text>
        <r>
          <rPr>
            <b/>
            <sz val="9"/>
            <color indexed="81"/>
            <rFont val="Tahoma"/>
            <family val="2"/>
          </rPr>
          <t>Oculto</t>
        </r>
      </text>
    </comment>
    <comment ref="Y21" authorId="1" shapeId="0">
      <text>
        <r>
          <rPr>
            <b/>
            <sz val="9"/>
            <color indexed="81"/>
            <rFont val="Tahoma"/>
            <family val="2"/>
          </rPr>
          <t>Oculto</t>
        </r>
      </text>
    </comment>
    <comment ref="AD21" authorId="1" shapeId="0">
      <text>
        <r>
          <rPr>
            <b/>
            <sz val="9"/>
            <color indexed="81"/>
            <rFont val="Tahoma"/>
            <family val="2"/>
          </rPr>
          <t>Oculto
No ejecutan</t>
        </r>
      </text>
    </comment>
    <comment ref="AE21" authorId="1" shapeId="0">
      <text>
        <r>
          <rPr>
            <b/>
            <sz val="9"/>
            <color indexed="81"/>
            <rFont val="Tahoma"/>
            <family val="2"/>
          </rPr>
          <t>Oculto
No ejecutan</t>
        </r>
      </text>
    </comment>
    <comment ref="AH21" authorId="1" shapeId="0">
      <text>
        <r>
          <rPr>
            <b/>
            <sz val="9"/>
            <color indexed="81"/>
            <rFont val="Tahoma"/>
            <family val="2"/>
          </rPr>
          <t>Oculto
No ejecutan</t>
        </r>
      </text>
    </comment>
    <comment ref="AI21" authorId="1" shapeId="0">
      <text>
        <r>
          <rPr>
            <b/>
            <sz val="9"/>
            <color indexed="81"/>
            <rFont val="Tahoma"/>
            <family val="2"/>
          </rPr>
          <t>Oculto
No ejecutan</t>
        </r>
      </text>
    </comment>
    <comment ref="AK21" authorId="1" shapeId="0">
      <text>
        <r>
          <rPr>
            <b/>
            <sz val="9"/>
            <color indexed="81"/>
            <rFont val="Tahoma"/>
            <family val="2"/>
          </rPr>
          <t>Oculto</t>
        </r>
      </text>
    </comment>
    <comment ref="AM21" authorId="1" shapeId="0">
      <text>
        <r>
          <rPr>
            <b/>
            <sz val="9"/>
            <color indexed="81"/>
            <rFont val="Tahoma"/>
            <family val="2"/>
          </rPr>
          <t>Oculto</t>
        </r>
      </text>
    </comment>
    <comment ref="AV21" authorId="1" shapeId="0">
      <text>
        <r>
          <rPr>
            <b/>
            <sz val="9"/>
            <color indexed="81"/>
            <rFont val="Tahoma"/>
            <family val="2"/>
          </rPr>
          <t>Oculto
No ejecutan</t>
        </r>
      </text>
    </comment>
    <comment ref="AW21" authorId="1" shapeId="0">
      <text>
        <r>
          <rPr>
            <b/>
            <sz val="9"/>
            <color indexed="81"/>
            <rFont val="Tahoma"/>
            <family val="2"/>
          </rPr>
          <t>Oculto
No ejecutan</t>
        </r>
      </text>
    </comment>
    <comment ref="BB21" authorId="1" shapeId="0">
      <text>
        <r>
          <rPr>
            <b/>
            <sz val="9"/>
            <color indexed="81"/>
            <rFont val="Tahoma"/>
            <family val="2"/>
          </rPr>
          <t>Oculto</t>
        </r>
      </text>
    </comment>
    <comment ref="BC21" authorId="1" shapeId="0">
      <text>
        <r>
          <rPr>
            <b/>
            <sz val="9"/>
            <color indexed="81"/>
            <rFont val="Tahoma"/>
            <family val="2"/>
          </rPr>
          <t>Oculto</t>
        </r>
      </text>
    </comment>
    <comment ref="BD21" authorId="1" shapeId="0">
      <text>
        <r>
          <rPr>
            <b/>
            <sz val="9"/>
            <color indexed="81"/>
            <rFont val="Tahoma"/>
            <family val="2"/>
          </rPr>
          <t>Oculto</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F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Q22" authorId="1" shapeId="0">
      <text>
        <r>
          <rPr>
            <b/>
            <sz val="9"/>
            <color indexed="81"/>
            <rFont val="Tahoma"/>
            <family val="2"/>
          </rPr>
          <t>Oculto</t>
        </r>
      </text>
    </comment>
    <comment ref="R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C22" authorId="1"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J22" authorId="1"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B22" authorId="1" shapeId="0">
      <text>
        <r>
          <rPr>
            <b/>
            <sz val="9"/>
            <color indexed="81"/>
            <rFont val="Tahoma"/>
            <family val="2"/>
          </rPr>
          <t>Oculto</t>
        </r>
      </text>
    </comment>
    <comment ref="BC22" authorId="1" shapeId="0">
      <text>
        <r>
          <rPr>
            <b/>
            <sz val="9"/>
            <color indexed="81"/>
            <rFont val="Tahoma"/>
            <family val="2"/>
          </rPr>
          <t>Oculto</t>
        </r>
      </text>
    </comment>
    <comment ref="BD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I25" authorId="1" shapeId="0">
      <text>
        <r>
          <rPr>
            <b/>
            <sz val="9"/>
            <color indexed="81"/>
            <rFont val="Tahoma"/>
            <family val="2"/>
          </rPr>
          <t>Oculto</t>
        </r>
      </text>
    </comment>
    <comment ref="L25" authorId="1" shapeId="0">
      <text>
        <r>
          <rPr>
            <b/>
            <sz val="9"/>
            <color indexed="81"/>
            <rFont val="Tahoma"/>
            <family val="2"/>
          </rPr>
          <t>Oculto</t>
        </r>
      </text>
    </comment>
    <comment ref="M25" authorId="1" shapeId="0">
      <text>
        <r>
          <rPr>
            <b/>
            <sz val="9"/>
            <color indexed="81"/>
            <rFont val="Tahoma"/>
            <family val="2"/>
          </rPr>
          <t>Oculto</t>
        </r>
      </text>
    </comment>
    <comment ref="P25" authorId="1" shapeId="0">
      <text>
        <r>
          <rPr>
            <b/>
            <sz val="9"/>
            <color indexed="81"/>
            <rFont val="Tahoma"/>
            <family val="2"/>
          </rPr>
          <t>Oculto</t>
        </r>
      </text>
    </comment>
    <comment ref="Q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BB25" authorId="1" shapeId="0">
      <text>
        <r>
          <rPr>
            <b/>
            <sz val="9"/>
            <color indexed="81"/>
            <rFont val="Tahoma"/>
            <family val="2"/>
          </rPr>
          <t>Oculto</t>
        </r>
      </text>
    </comment>
    <comment ref="BC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I28" authorId="1" shapeId="0">
      <text>
        <r>
          <rPr>
            <b/>
            <sz val="9"/>
            <color indexed="81"/>
            <rFont val="Tahoma"/>
            <family val="2"/>
          </rPr>
          <t>Oculto</t>
        </r>
      </text>
    </comment>
    <comment ref="L28" authorId="1" shapeId="0">
      <text>
        <r>
          <rPr>
            <b/>
            <sz val="9"/>
            <color indexed="81"/>
            <rFont val="Tahoma"/>
            <family val="2"/>
          </rPr>
          <t>Oculto</t>
        </r>
      </text>
    </comment>
    <comment ref="M28" authorId="1" shapeId="0">
      <text>
        <r>
          <rPr>
            <b/>
            <sz val="9"/>
            <color indexed="81"/>
            <rFont val="Tahoma"/>
            <family val="2"/>
          </rPr>
          <t>Oculto</t>
        </r>
      </text>
    </comment>
    <comment ref="N28" authorId="1" shapeId="0">
      <text>
        <r>
          <rPr>
            <b/>
            <sz val="9"/>
            <color indexed="81"/>
            <rFont val="Tahoma"/>
            <family val="2"/>
          </rPr>
          <t>Oculto
No Ejecutan</t>
        </r>
      </text>
    </comment>
    <comment ref="O28" authorId="1" shapeId="0">
      <text>
        <r>
          <rPr>
            <b/>
            <sz val="9"/>
            <color indexed="81"/>
            <rFont val="Tahoma"/>
            <family val="2"/>
          </rPr>
          <t>Oculto
No Ejecutan</t>
        </r>
      </text>
    </comment>
    <comment ref="P28" authorId="1" shapeId="0">
      <text>
        <r>
          <rPr>
            <b/>
            <sz val="9"/>
            <color indexed="81"/>
            <rFont val="Tahoma"/>
            <family val="2"/>
          </rPr>
          <t>Oculto</t>
        </r>
      </text>
    </comment>
    <comment ref="Q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D28" authorId="1" shapeId="0">
      <text>
        <r>
          <rPr>
            <b/>
            <sz val="9"/>
            <color indexed="81"/>
            <rFont val="Tahoma"/>
            <family val="2"/>
          </rPr>
          <t>Oculto
No Ejecutan</t>
        </r>
      </text>
    </comment>
    <comment ref="AE28" authorId="1" shapeId="0">
      <text>
        <r>
          <rPr>
            <b/>
            <sz val="9"/>
            <color indexed="81"/>
            <rFont val="Tahoma"/>
            <family val="2"/>
          </rPr>
          <t>Oculto
No Ejecutan</t>
        </r>
      </text>
    </comment>
    <comment ref="AH28" authorId="1" shapeId="0">
      <text>
        <r>
          <rPr>
            <b/>
            <sz val="9"/>
            <color indexed="81"/>
            <rFont val="Tahoma"/>
            <family val="2"/>
          </rPr>
          <t>Oculto
No Ejecutan</t>
        </r>
      </text>
    </comment>
    <comment ref="AI28" authorId="1" shapeId="0">
      <text>
        <r>
          <rPr>
            <b/>
            <sz val="9"/>
            <color indexed="81"/>
            <rFont val="Tahoma"/>
            <family val="2"/>
          </rPr>
          <t>Oculto
No Ejecutan</t>
        </r>
      </text>
    </comment>
    <comment ref="AK28" authorId="1" shapeId="0">
      <text>
        <r>
          <rPr>
            <b/>
            <sz val="9"/>
            <color indexed="81"/>
            <rFont val="Tahoma"/>
            <family val="2"/>
          </rPr>
          <t>Oculto</t>
        </r>
      </text>
    </comment>
    <comment ref="AV28" authorId="1" shapeId="0">
      <text>
        <r>
          <rPr>
            <b/>
            <sz val="9"/>
            <color indexed="81"/>
            <rFont val="Tahoma"/>
            <family val="2"/>
          </rPr>
          <t>Oculto
No Ejecutan</t>
        </r>
      </text>
    </comment>
    <comment ref="AW28" authorId="1" shapeId="0">
      <text>
        <r>
          <rPr>
            <b/>
            <sz val="9"/>
            <color indexed="81"/>
            <rFont val="Tahoma"/>
            <family val="2"/>
          </rPr>
          <t>Oculto
No Ejecutan</t>
        </r>
      </text>
    </comment>
    <comment ref="BB28" authorId="1" shapeId="0">
      <text>
        <r>
          <rPr>
            <b/>
            <sz val="9"/>
            <color indexed="81"/>
            <rFont val="Tahoma"/>
            <family val="2"/>
          </rPr>
          <t>Oculto</t>
        </r>
      </text>
    </comment>
    <comment ref="BC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F29" authorId="1"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Q29" authorId="1" shapeId="0">
      <text>
        <r>
          <rPr>
            <b/>
            <sz val="9"/>
            <color indexed="81"/>
            <rFont val="Tahoma"/>
            <family val="2"/>
          </rPr>
          <t>Oculto</t>
        </r>
      </text>
    </comment>
    <comment ref="R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C29" authorId="1"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J29" authorId="1"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B29" authorId="1" shapeId="0">
      <text>
        <r>
          <rPr>
            <b/>
            <sz val="9"/>
            <color indexed="81"/>
            <rFont val="Tahoma"/>
            <family val="2"/>
          </rPr>
          <t>Oculto</t>
        </r>
      </text>
    </comment>
    <comment ref="BC29" authorId="1" shapeId="0">
      <text>
        <r>
          <rPr>
            <b/>
            <sz val="9"/>
            <color indexed="81"/>
            <rFont val="Tahoma"/>
            <family val="2"/>
          </rPr>
          <t>Oculto</t>
        </r>
      </text>
    </comment>
    <comment ref="BD29" authorId="1" shapeId="0">
      <text>
        <r>
          <rPr>
            <b/>
            <sz val="9"/>
            <color indexed="81"/>
            <rFont val="Tahoma"/>
            <family val="2"/>
          </rPr>
          <t>Oculto</t>
        </r>
      </text>
    </comment>
  </commentList>
</comments>
</file>

<file path=xl/sharedStrings.xml><?xml version="1.0" encoding="utf-8"?>
<sst xmlns="http://schemas.openxmlformats.org/spreadsheetml/2006/main" count="2624" uniqueCount="1167">
  <si>
    <t xml:space="preserve">Jurisdicción Cont.-Admva.:                      </t>
  </si>
  <si>
    <t xml:space="preserve">Jdos Cont.-Admvo.                               </t>
  </si>
  <si>
    <t xml:space="preserve">Jurisdicción Social:                            </t>
  </si>
  <si>
    <t xml:space="preserve">Jdos. de lo Social                              </t>
  </si>
  <si>
    <t>Jdos. De lo Social de Ejecuciones</t>
  </si>
  <si>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</si>
  <si>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</si>
  <si>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</si>
  <si>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</si>
  <si>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</si>
  <si>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</si>
  <si>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</si>
  <si>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</si>
  <si>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</si>
  <si>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</si>
  <si>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</si>
  <si>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</si>
  <si>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</si>
  <si>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</si>
  <si>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</si>
  <si>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</si>
  <si>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</si>
  <si>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</si>
  <si>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</si>
  <si>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</si>
  <si>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</si>
  <si>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</si>
  <si>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</si>
  <si>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</si>
  <si>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08</t>
  </si>
  <si>
    <t>09</t>
  </si>
  <si>
    <t>05</t>
  </si>
  <si>
    <t>06</t>
  </si>
  <si>
    <t>Pendientes fin</t>
  </si>
  <si>
    <t>EJECU246</t>
  </si>
  <si>
    <t>EJECU446</t>
  </si>
  <si>
    <t>EJECU546</t>
  </si>
  <si>
    <t>TASUN143</t>
  </si>
  <si>
    <t>TASUN743</t>
  </si>
  <si>
    <t>TASUN643</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</si>
  <si>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</si>
  <si>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</si>
  <si>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</si>
  <si>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</si>
  <si>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</si>
  <si>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</si>
  <si>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</si>
  <si>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</si>
  <si>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</si>
  <si>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</si>
  <si>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</si>
  <si>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</si>
  <si>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</si>
  <si>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ccodespe like 'EP'</t>
  </si>
  <si>
    <t>(ccodespe like  'EJ' Or ccodespe like 'ED')</t>
  </si>
  <si>
    <t>Año:</t>
  </si>
  <si>
    <t>AUTOST13</t>
  </si>
  <si>
    <t>TCIVI215</t>
  </si>
  <si>
    <t>TCIVI515</t>
  </si>
  <si>
    <t>% Ingreso Computable total</t>
  </si>
  <si>
    <t>TASUN251+(-TASUN451)</t>
  </si>
  <si>
    <t>Puntos  dedic. Magistrado
residual</t>
  </si>
  <si>
    <t>110</t>
  </si>
  <si>
    <t>TEJEC240</t>
  </si>
  <si>
    <t>TEJEC540</t>
  </si>
  <si>
    <t>TEJEC640</t>
  </si>
  <si>
    <t>DILII124</t>
  </si>
  <si>
    <t>TASUN151</t>
  </si>
  <si>
    <t>TPEANT48</t>
  </si>
  <si>
    <t>TREGIS48</t>
  </si>
  <si>
    <t>TPEFIN48</t>
  </si>
  <si>
    <t>PROCS227</t>
  </si>
  <si>
    <t xml:space="preserve">Jdos. 1ª Instancia   </t>
  </si>
  <si>
    <t>34</t>
  </si>
  <si>
    <t>10</t>
  </si>
  <si>
    <t>DILII224</t>
  </si>
  <si>
    <t>DILII424</t>
  </si>
  <si>
    <t>DILII524</t>
  </si>
  <si>
    <t>02</t>
  </si>
  <si>
    <t>TMOVM140</t>
  </si>
  <si>
    <t>TMOVM240</t>
  </si>
  <si>
    <t>TMOVM640</t>
  </si>
  <si>
    <t>TMOVM540</t>
  </si>
  <si>
    <t>TSENTT41</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</si>
  <si>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</si>
  <si>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</si>
  <si>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</si>
  <si>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</si>
  <si>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</si>
  <si>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</si>
  <si>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</si>
  <si>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</si>
  <si>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</si>
  <si>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</si>
  <si>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</si>
  <si>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</si>
  <si>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</si>
  <si>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</si>
  <si>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</si>
  <si>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</si>
  <si>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</si>
  <si>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</si>
  <si>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</si>
  <si>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</si>
  <si>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</si>
  <si>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</si>
  <si>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</si>
  <si>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</si>
  <si>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</si>
  <si>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</si>
  <si>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</si>
  <si>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</si>
  <si>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</si>
  <si>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</si>
  <si>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</si>
  <si>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</si>
  <si>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</si>
  <si>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TRESUE48</t>
  </si>
  <si>
    <t>41</t>
  </si>
  <si>
    <t>SENTENCIAS</t>
  </si>
  <si>
    <t>AUTOS</t>
  </si>
  <si>
    <t>-</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</si>
  <si>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</si>
  <si>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</si>
  <si>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</si>
  <si>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</si>
  <si>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</si>
  <si>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</si>
  <si>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</si>
  <si>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</si>
  <si>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</si>
  <si>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</si>
  <si>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</si>
  <si>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rPr>
      <t xml:space="preserve"> introducidos las columnas nº de Organo y Nº de boletines se usan para evitar que formen pate de la suma total de esas columnas</t>
    </r>
  </si>
  <si>
    <t>TASUN551</t>
  </si>
  <si>
    <t>TASUN651</t>
  </si>
  <si>
    <t>EJECU243+EJECU246</t>
  </si>
  <si>
    <t>EJECU543+EJECU446</t>
  </si>
  <si>
    <t>EJECU643+EJECU546</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</si>
  <si>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</si>
  <si>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</si>
  <si>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</si>
  <si>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</si>
  <si>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</si>
  <si>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</si>
  <si>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</si>
  <si>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</si>
  <si>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</si>
  <si>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</si>
  <si>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</si>
  <si>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</si>
  <si>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</si>
  <si>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</si>
  <si>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</si>
  <si>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</si>
  <si>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</si>
  <si>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</si>
  <si>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</si>
  <si>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</si>
  <si>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</si>
  <si>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</si>
  <si>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</si>
  <si>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</si>
  <si>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</si>
  <si>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</si>
  <si>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</si>
  <si>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</si>
  <si>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</si>
  <si>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</si>
  <si>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</si>
  <si>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</si>
  <si>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</si>
  <si>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</si>
  <si>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</si>
  <si>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TSENTT44</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</si>
  <si>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</si>
  <si>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</si>
  <si>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</si>
  <si>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</si>
  <si>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</si>
  <si>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</si>
  <si>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</si>
  <si>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</si>
  <si>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</si>
  <si>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</si>
  <si>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</si>
  <si>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</si>
  <si>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</si>
  <si>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</si>
  <si>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</si>
  <si>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</si>
  <si>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</si>
  <si>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</si>
  <si>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</si>
  <si>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</si>
  <si>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</si>
  <si>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</si>
  <si>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</si>
  <si>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</si>
  <si>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</si>
  <si>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</si>
  <si>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</si>
  <si>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</si>
  <si>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</si>
  <si>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</si>
  <si>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</si>
  <si>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</si>
  <si>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TASUN243+TASUN443</t>
  </si>
  <si>
    <t>PROCS227+PROCS327</t>
  </si>
  <si>
    <t>TMOVM240+TMOVM340</t>
  </si>
  <si>
    <t>EJEPE651</t>
  </si>
  <si>
    <t>TVOLU315</t>
  </si>
  <si>
    <t>TVOLU415</t>
  </si>
  <si>
    <t>AUTPEN53+SOBVDM53+SOBVGN53+SOBRST53+AUTVDM53+AUTVGN53+AULOPJ53</t>
  </si>
  <si>
    <t>EJECU227+EJEPE231+EJEJI231+EJJVM231</t>
  </si>
  <si>
    <t>EJEPE231+EJEJI231+EJJVM231</t>
  </si>
  <si>
    <t>EJEPS231+EJEPE431+EJEJS231+EJEJI431+EJJVS231+EJJVM431</t>
  </si>
  <si>
    <t>EJEPS331+EJEPE531+EJEJS331+EJEJI531+EJJVS331+EJJVM531</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</si>
  <si>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</si>
  <si>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</si>
  <si>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</si>
  <si>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</si>
  <si>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</si>
  <si>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</si>
  <si>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</si>
  <si>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</si>
  <si>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</si>
  <si>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</si>
  <si>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</si>
  <si>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</si>
  <si>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</si>
  <si>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</si>
  <si>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</si>
  <si>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</si>
  <si>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</si>
  <si>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</si>
  <si>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</si>
  <si>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</si>
  <si>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</si>
  <si>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</si>
  <si>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</si>
  <si>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</si>
  <si>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</si>
  <si>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</si>
  <si>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</si>
  <si>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</si>
  <si>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</si>
  <si>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</si>
  <si>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</si>
  <si>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</si>
  <si>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</si>
  <si>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</si>
  <si>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</si>
  <si>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</si>
  <si>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</si>
  <si>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</si>
  <si>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</si>
  <si>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</si>
  <si>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</si>
  <si>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</si>
  <si>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</si>
  <si>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</si>
  <si>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</si>
  <si>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</si>
  <si>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</si>
  <si>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</si>
  <si>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</si>
  <si>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</si>
  <si>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</si>
  <si>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</si>
  <si>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</si>
  <si>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</si>
  <si>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</si>
  <si>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</si>
  <si>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</si>
  <si>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</si>
  <si>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</si>
  <si>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</si>
  <si>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</si>
  <si>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</si>
  <si>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</si>
  <si>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</si>
  <si>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</si>
  <si>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</si>
  <si>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</si>
  <si>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</si>
  <si>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</si>
  <si>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</si>
  <si>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</si>
  <si>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</si>
  <si>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</si>
  <si>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</si>
  <si>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</si>
  <si>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</si>
  <si>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</si>
  <si>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</si>
  <si>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</si>
  <si>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</si>
  <si>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DECRED28+DECREE28</t>
  </si>
  <si>
    <t>DECRE141+DECRE241</t>
  </si>
  <si>
    <t>DECRET44</t>
  </si>
  <si>
    <t>62</t>
  </si>
  <si>
    <t>DECRETOS</t>
  </si>
  <si>
    <t>Nº Decretos</t>
  </si>
  <si>
    <t>DECREE28</t>
  </si>
  <si>
    <t>DECREE44</t>
  </si>
  <si>
    <t>63</t>
  </si>
  <si>
    <t>64</t>
  </si>
  <si>
    <t>MODULO DE RESOLUCION 2</t>
  </si>
  <si>
    <t>MODULO DE PENDENCIA 2</t>
  </si>
  <si>
    <t>MODULO DE RESOLUCION 1</t>
  </si>
  <si>
    <t>MODULO DE PENDENCIA 1</t>
  </si>
  <si>
    <t>65</t>
  </si>
  <si>
    <t>TMOVM540+TMOVM440</t>
  </si>
  <si>
    <t>TCIVI315+NVL(EJTOT319,0)</t>
  </si>
  <si>
    <t>EJECU347</t>
  </si>
  <si>
    <t>TCIVI315</t>
  </si>
  <si>
    <t>TCIVI315+NVL(EJECU347,0)+NVL(EJTOT319,0)</t>
  </si>
  <si>
    <t>EJECI351</t>
  </si>
  <si>
    <t>EJEPE351</t>
  </si>
  <si>
    <t>EJEPE331+EJEJI331+EJJVM331</t>
  </si>
  <si>
    <t>TEJEC340</t>
  </si>
  <si>
    <t>EJECU346</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</si>
  <si>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</si>
  <si>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</si>
  <si>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</si>
  <si>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</si>
  <si>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</si>
  <si>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</si>
  <si>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</si>
  <si>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</si>
  <si>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</si>
  <si>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ESCHAS46</t>
  </si>
  <si>
    <t>ESCMAS46</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</si>
  <si>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</si>
  <si>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</si>
  <si>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</si>
  <si>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</si>
  <si>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</si>
  <si>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</si>
  <si>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</si>
  <si>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</si>
  <si>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</si>
  <si>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</si>
  <si>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</si>
  <si>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</si>
  <si>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</si>
  <si>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</si>
  <si>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</si>
  <si>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</si>
  <si>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</si>
  <si>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</si>
  <si>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</si>
  <si>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</si>
  <si>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</si>
  <si>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</si>
  <si>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</si>
  <si>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</si>
  <si>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</si>
  <si>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</si>
  <si>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</si>
  <si>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</si>
  <si>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</si>
  <si>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</si>
  <si>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</si>
  <si>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</si>
  <si>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</si>
  <si>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</si>
  <si>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</si>
  <si>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</si>
  <si>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</si>
  <si>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</si>
  <si>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</si>
  <si>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</si>
  <si>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PROMO143</t>
  </si>
  <si>
    <t>PROMO243</t>
  </si>
  <si>
    <t>PROMO343</t>
  </si>
  <si>
    <t>PROMO443</t>
  </si>
  <si>
    <t>TASUN243</t>
  </si>
  <si>
    <t>Suspendidos</t>
  </si>
  <si>
    <t>Señalados</t>
  </si>
  <si>
    <t>78</t>
  </si>
  <si>
    <t>79</t>
  </si>
  <si>
    <t>SENIJ115</t>
  </si>
  <si>
    <t>AUDCE251</t>
  </si>
  <si>
    <t>SENIA251</t>
  </si>
  <si>
    <t>SENIA351</t>
  </si>
  <si>
    <t>SENIJ340</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</si>
  <si>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</si>
  <si>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</si>
  <si>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</si>
  <si>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</si>
  <si>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</si>
  <si>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</si>
  <si>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</si>
  <si>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</si>
  <si>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</si>
  <si>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</si>
  <si>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</si>
  <si>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</si>
  <si>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</si>
  <si>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</si>
  <si>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SENPEN41</t>
  </si>
  <si>
    <t>ESCHAT27</t>
  </si>
  <si>
    <t>ESCMAT27</t>
  </si>
  <si>
    <t>ESCHAT22</t>
  </si>
  <si>
    <t>ESCMAT22</t>
  </si>
  <si>
    <t>0.75*(CAUPR131+CAUPR231)+0.40*(RESTA131+RESTA231)+0.20*(CAURE131+CAURE231+RESRE131+RESRE231)</t>
  </si>
  <si>
    <t>Sentencias pendientes juez</t>
  </si>
  <si>
    <t>SENPEN86</t>
  </si>
  <si>
    <t>SENPEN82</t>
  </si>
  <si>
    <t>SENPNP54</t>
  </si>
  <si>
    <t>SENPNC54</t>
  </si>
  <si>
    <t>SENPEN29</t>
  </si>
  <si>
    <t>SENPEN42</t>
  </si>
  <si>
    <t>90</t>
  </si>
  <si>
    <t>MODULO TEORICO ENTRADA ÓRGANO</t>
  </si>
  <si>
    <t>Número de magistrados</t>
  </si>
  <si>
    <t>1292
1148</t>
  </si>
  <si>
    <t>1292
1088</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</si>
  <si>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</si>
  <si>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</si>
  <si>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</si>
  <si>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</si>
  <si>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</si>
  <si>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</si>
  <si>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</si>
  <si>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AUTOST13+NVL(AUACTT92,0)+NVL(AURESO92,0)+NVL(AUCOFA92,0)+NVL(AUNOAC92,0)+NVL(AUDECU92,0)+NVL(AUAPPI92,0)+NVL(AUREAU92,0)+NVL(AUAPPL92,0)+NVL(AUCONC92,0)+NVL(AUAVTT92,0)+NVL(AUASTT92,0)+NVL(AUJVOL92,0)+NVL(AUDPRE92,0)+NVL(AUCAUT92,0)+NVL(AUEJEC92,0)+NVL(AUINNO92,0)+NVL(AUOTCO92,0)+NVL(AUMDMT92,0)+NVL(AULOPJ92,0)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</si>
  <si>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</si>
  <si>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</si>
  <si>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</si>
  <si>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</si>
  <si>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</si>
  <si>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</si>
  <si>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</si>
  <si>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</si>
  <si>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</si>
  <si>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EJEPE231+EJEPE331+EJEJI231+EJEJI331+EJJVM231+EJJVM331</t>
  </si>
  <si>
    <t>EJECU246+EJECU346</t>
  </si>
  <si>
    <t>1088
1001
935
870</t>
  </si>
  <si>
    <t>Asuntos Pendientes de Incoar</t>
  </si>
  <si>
    <t>92</t>
  </si>
  <si>
    <t>93</t>
  </si>
  <si>
    <t>DEMPEN11</t>
  </si>
  <si>
    <t>DEMPEN24</t>
  </si>
  <si>
    <t>DEMPEN51</t>
  </si>
  <si>
    <t>DEMPEN48</t>
  </si>
  <si>
    <t>DEMPEN27</t>
  </si>
  <si>
    <t>DEMPEN40</t>
  </si>
  <si>
    <t>DEMPEN22</t>
  </si>
  <si>
    <t>DEMPEN47</t>
  </si>
  <si>
    <t>Fecha más adelantada señalamiento</t>
  </si>
  <si>
    <t>ULTSEN22</t>
  </si>
  <si>
    <t>ULTSEN47</t>
  </si>
  <si>
    <t>ULTSEN40</t>
  </si>
  <si>
    <t>ULTSEN27</t>
  </si>
  <si>
    <t>ULTSEN51</t>
  </si>
  <si>
    <t>ULTSEN43</t>
  </si>
  <si>
    <t>ULTSEN15</t>
  </si>
  <si>
    <t>94</t>
  </si>
  <si>
    <t>95</t>
  </si>
  <si>
    <t>96</t>
  </si>
  <si>
    <t>TASUN251+TASUN351</t>
  </si>
  <si>
    <t>ESCHAT47</t>
  </si>
  <si>
    <t>ESCMAT47</t>
  </si>
  <si>
    <t>TESCR140</t>
  </si>
  <si>
    <t>Puntos Dedicación 2</t>
  </si>
  <si>
    <t>80</t>
  </si>
  <si>
    <t>5*COUNT(FECHAV49)</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</si>
  <si>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</si>
  <si>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</si>
  <si>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</si>
  <si>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</si>
  <si>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</si>
  <si>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</si>
  <si>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</si>
  <si>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</si>
  <si>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</si>
  <si>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</si>
  <si>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</si>
  <si>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</si>
  <si>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</si>
  <si>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</si>
  <si>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</si>
  <si>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</si>
  <si>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</si>
  <si>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</si>
  <si>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</si>
  <si>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</si>
  <si>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</si>
  <si>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</si>
  <si>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</si>
  <si>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</si>
  <si>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</si>
  <si>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</si>
  <si>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</si>
  <si>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</si>
  <si>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</si>
  <si>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</si>
  <si>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</si>
  <si>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</si>
  <si>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</si>
  <si>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</si>
  <si>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</si>
  <si>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</si>
  <si>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</si>
  <si>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</si>
  <si>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</si>
  <si>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</si>
  <si>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</si>
  <si>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</si>
  <si>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</si>
  <si>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</si>
  <si>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</si>
  <si>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</si>
  <si>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</si>
  <si>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A</t>
  </si>
  <si>
    <t>S</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</si>
  <si>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</si>
  <si>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</si>
  <si>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</si>
  <si>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</si>
  <si>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</si>
  <si>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</si>
  <si>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</si>
  <si>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</si>
  <si>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</si>
  <si>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</si>
  <si>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 xml:space="preserve">Jdos. Vigilancia Penitenciaria                  </t>
  </si>
  <si>
    <t xml:space="preserve">Jdos. de lo Penal                               </t>
  </si>
  <si>
    <t xml:space="preserve">Jdos. de lo Penal de Ejecutorias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</si>
  <si>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</si>
  <si>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</si>
  <si>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</si>
  <si>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</si>
  <si>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</si>
  <si>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</si>
  <si>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</si>
  <si>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</si>
  <si>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</si>
  <si>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</si>
  <si>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</si>
  <si>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</si>
  <si>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</si>
  <si>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</si>
  <si>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rPr>
      <t xml:space="preserve"> Cociente entre el número de sentencias y el de asuntos resueltos, expresado en tanto por ciento. 
Indica el porcentaje de asuntos que se resuelven por sentencia.</t>
    </r>
  </si>
  <si>
    <r>
      <rPr>
        <b/>
        <sz val="10"/>
        <rFont val="Arial"/>
        <family val="2"/>
      </rPr>
      <t>Tasa de resolución:</t>
    </r>
    <r>
      <rPr>
        <sz val="10"/>
        <rFont val="Arial"/>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</si>
  <si>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</si>
  <si>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NTINFT48</t>
  </si>
  <si>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</si>
  <si>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</si>
  <si>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</si>
  <si>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</si>
  <si>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</si>
  <si>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</si>
  <si>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</si>
  <si>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</si>
  <si>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</si>
  <si>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</si>
  <si>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</si>
  <si>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</si>
  <si>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</si>
  <si>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</si>
  <si>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</si>
  <si>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</si>
  <si>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</si>
  <si>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</si>
  <si>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SENPE129</t>
  </si>
  <si>
    <t>SENPE229</t>
  </si>
  <si>
    <t>SENPE329</t>
  </si>
  <si>
    <t>SENPE142</t>
  </si>
  <si>
    <t>SENPE242</t>
  </si>
  <si>
    <t>SENPE342</t>
  </si>
  <si>
    <t>SENPE145</t>
  </si>
  <si>
    <t>SENPE245</t>
  </si>
  <si>
    <t>SENPE345</t>
  </si>
  <si>
    <t>Autos Pendientes (menos de 3 meses) juez</t>
  </si>
  <si>
    <t>Autos Pendientes (entre 3 y 6 meses) juez</t>
  </si>
  <si>
    <t>Autos Pendientes (más de 6 meses) juez</t>
  </si>
  <si>
    <t>AUTPE114</t>
  </si>
  <si>
    <t>AUTPE214</t>
  </si>
  <si>
    <t>AUTPE314</t>
  </si>
  <si>
    <t>AUTPP154</t>
  </si>
  <si>
    <t>AUTPP254</t>
  </si>
  <si>
    <t>AUTPP354</t>
  </si>
  <si>
    <t>AUTPE142</t>
  </si>
  <si>
    <t>AUTPE242</t>
  </si>
  <si>
    <t>AUTPE342</t>
  </si>
  <si>
    <t>Sentencias Pendientes  (más 6 mes)
juez</t>
  </si>
  <si>
    <t>Sentencias Pendientes   (más 6 mes)
juez</t>
  </si>
  <si>
    <t>SENPE445</t>
  </si>
  <si>
    <t>Autos Pendientes (total) juez</t>
  </si>
  <si>
    <t>AUTPE414</t>
  </si>
  <si>
    <t>AUTPP454</t>
  </si>
  <si>
    <t>AUTPEN42</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</si>
  <si>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</si>
  <si>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</si>
  <si>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</si>
  <si>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</si>
  <si>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</si>
  <si>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</si>
  <si>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</si>
  <si>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</si>
  <si>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</si>
  <si>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</si>
  <si>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</si>
  <si>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</si>
  <si>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</si>
  <si>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TESCR040</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</si>
  <si>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</si>
  <si>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</si>
  <si>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</si>
  <si>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</si>
  <si>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</si>
  <si>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</si>
  <si>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</si>
  <si>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</si>
  <si>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</si>
  <si>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</si>
  <si>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</si>
  <si>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</si>
  <si>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</si>
  <si>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</si>
  <si>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SENPE141</t>
  </si>
  <si>
    <t>SENPE241</t>
  </si>
  <si>
    <t>SENPE341</t>
  </si>
  <si>
    <t>SENPE144</t>
  </si>
  <si>
    <t>SENPE244</t>
  </si>
  <si>
    <t>SENPE344</t>
  </si>
  <si>
    <t>AUTOST41+AUTOS141+AUTOS441+AUTOS341+AUTOS241</t>
  </si>
  <si>
    <t>AUTFIN112</t>
  </si>
  <si>
    <t>DECFIN112</t>
  </si>
  <si>
    <t>AUTER428</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</si>
  <si>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</si>
  <si>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</si>
  <si>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</si>
  <si>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</si>
  <si>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</si>
  <si>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</si>
  <si>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</si>
  <si>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</si>
  <si>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</si>
  <si>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</si>
  <si>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</si>
  <si>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</si>
  <si>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</si>
  <si>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</si>
  <si>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</si>
  <si>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</si>
  <si>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</si>
  <si>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</si>
  <si>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</si>
  <si>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</si>
  <si>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</si>
  <si>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</si>
  <si>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</si>
  <si>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</si>
  <si>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SENPT313+SENFT313+SENCOV13+SENCON13+NVL(PCNCO792,0)+NVL(PCINCO92,0)+NVL(PCSINV92,0)+NVL(PCIJO792,0)+NVL(PCIJV792,0)+NVL(PESCA792,0)+NVL(ORDSO792,0)+NVL(MDYMC792,0)</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</si>
  <si>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</si>
  <si>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</si>
  <si>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</si>
  <si>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</si>
  <si>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</si>
  <si>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</si>
  <si>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</si>
  <si>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</si>
  <si>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</si>
  <si>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</si>
  <si>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</si>
  <si>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</si>
  <si>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</si>
  <si>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</si>
  <si>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</si>
  <si>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</si>
  <si>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</si>
  <si>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EJECU427+EJEPS231+EJEPE431+EJEJS231+EJEJI431+EJJVS231+EJJVM431</t>
  </si>
  <si>
    <t>EJECU527+EJEPS331+EJEPE531+EJEJS331+EJEJI531+EJJVS331+EJJVM531</t>
  </si>
  <si>
    <t>PROCS527+DECAU427</t>
  </si>
  <si>
    <t>PROCS127+DECAU127</t>
  </si>
  <si>
    <t>PROCS227+DECAU227</t>
  </si>
  <si>
    <t>PROCS427+DECAU327</t>
  </si>
  <si>
    <t>TSENTT28+DECAUT28</t>
  </si>
  <si>
    <t>SENIJ240+SENIJ440</t>
  </si>
  <si>
    <t>SUSPJ215+NVL(SENIJ219,0)+SUSPI215+NVL(SENIJ419,0)</t>
  </si>
  <si>
    <t xml:space="preserve">TSEJU222+TSEJU422 </t>
  </si>
  <si>
    <t>SUSPJ247+SUSPJ147</t>
  </si>
  <si>
    <t>AUTPE182</t>
  </si>
  <si>
    <t>AUTPE282</t>
  </si>
  <si>
    <t>AUTPE382</t>
  </si>
  <si>
    <t>AUTPEN82</t>
  </si>
  <si>
    <t>SENPRT85</t>
  </si>
  <si>
    <t>SENPT313+SENFT313+SENCOV13+SENCON13+NVL(SENPRT85,0)+NVL(PCNCO792,0)+NVL(PCINCO92,0)+NVL(PCSINV92,0)+NVL(PCIJO792,0)+NVL(PCIJV792,0)+NVL(PESCA792,0)+NVL(ORDSO792,0)+NVL(MDYMC792,0)</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</si>
  <si>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</si>
  <si>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</si>
  <si>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</si>
  <si>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</si>
  <si>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</si>
  <si>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CASE WHEN PROCS427=0 THEN 0 ELSE NVL(CONFOT29-(CONFOT29*(JUICI427/PROCS427))+2*(CONFOT29*(JUICI427/PROCS427))+5.5*(JUICI427/PROCS427)*(RESTAT29)+4.5*((RESTAT29)-(JUICI427/PROCS427)*(RESTAT29)),0)
END+2.5*DECAUT29</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</si>
  <si>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</si>
  <si>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</si>
  <si>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</si>
  <si>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</si>
  <si>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</si>
  <si>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</si>
  <si>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</si>
  <si>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</si>
  <si>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</si>
  <si>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</si>
  <si>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4.5*DERFUT41+4*PROORT41+3.5*PROABT41+1.5*AUTOS541+0.5*AUTOS641+AR110340+4*(PROAR540+PROAR640+PROAR740)+1.5*RESTE340+AUTOS141+2*(DOMIC440+DOMIC540)+1.5*(AUTCA341)</t>
  </si>
  <si>
    <t>((CASE WHEN TSENTT41=0 THEN 0 ELSE TSENTT42/TSENTT41 END)*(AR110340+(PROAR540+PROAR640+PROAR740)*4+(RESTE340)*1.5+(DOMIC440+DOMIC540)*2)+(DERFUT42*4.5+PROORT42*4+PROABT42*3.5+AUTOS542*1.5+AUTOS642*0.5+AUTOS142))+1.5*(AUTCA342)</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</si>
  <si>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</si>
  <si>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0.2*(PETIC348)+(QINTE348)+0.75*(ALZAD348+REFOR348+RREFOR48)+1.25*(CLASI348)+0.5*(ANTIC348+RGENE348+EXTRA348+LCOTR348)+0.1*(REDEO348+REDEE348)+0.25*(QUEJA348+LIMIT348+COERC348)+0.1*(EXPED348+INTER348+AMBUL348+ACUMU348+OTRAQ348+PRRMS348+TRBEN348+RESCP348+RARGP348+APPRE348)</t>
  </si>
  <si>
    <t>AUTOS144+AUTOS244+AULOPJ44</t>
  </si>
  <si>
    <t>AUTOTA44</t>
  </si>
  <si>
    <t>AUTOT128+AUTFIE28</t>
  </si>
  <si>
    <t>(CONFLT45)*6 +(DESPIT45)*3.5 +(CANTIT45)*3+(SOCIAT45)*2.75+(AAMAG145)*0.5+(SENTET45)+3.5*MOVGE345+6*MATEL345</t>
  </si>
  <si>
    <t>DILUR222+DILUR322
DILUR222+DILUR322
DILUR222+DILUR322</t>
  </si>
  <si>
    <t>AUTOST41+AUTOS141+AUTOS441+AUTOS341+AUTOS241+AUTCA141+AUTCA241+AUTCA341</t>
  </si>
  <si>
    <t>TMOVM340</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</si>
  <si>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</si>
  <si>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</si>
  <si>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</si>
  <si>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</si>
  <si>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</si>
  <si>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</si>
  <si>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</si>
  <si>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</si>
  <si>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</si>
  <si>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</si>
  <si>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</si>
  <si>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</si>
  <si>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</si>
  <si>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</si>
  <si>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</si>
  <si>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</si>
  <si>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</si>
  <si>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</si>
  <si>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</si>
  <si>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</si>
  <si>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</si>
  <si>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</si>
  <si>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</si>
  <si>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</si>
  <si>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</si>
  <si>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</si>
  <si>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</si>
  <si>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</si>
  <si>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</si>
  <si>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</si>
  <si>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TMOVM440</t>
  </si>
  <si>
    <t>PROOR840</t>
  </si>
  <si>
    <t>PROAB840</t>
  </si>
  <si>
    <t>PROABR40</t>
  </si>
  <si>
    <t>PENDE140+PENDE240+PENDE340</t>
  </si>
  <si>
    <t>PLDIFE40</t>
  </si>
  <si>
    <t>PKTMAG42</t>
  </si>
  <si>
    <t>AUTPEN41</t>
  </si>
  <si>
    <t>AUTPE141</t>
  </si>
  <si>
    <t>AUTPE241</t>
  </si>
  <si>
    <t>AUTPE341</t>
  </si>
  <si>
    <t>PROABT41</t>
  </si>
  <si>
    <t>PROORT41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</si>
  <si>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</si>
  <si>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</si>
  <si>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</si>
  <si>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</si>
  <si>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</si>
  <si>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</si>
  <si>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</si>
  <si>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</si>
  <si>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</si>
  <si>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</si>
  <si>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</si>
  <si>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</si>
  <si>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</si>
  <si>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</si>
  <si>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</si>
  <si>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</si>
  <si>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=Datos!AO43</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</si>
  <si>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</si>
  <si>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</si>
  <si>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</si>
  <si>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</si>
  <si>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</si>
  <si>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</si>
  <si>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</si>
  <si>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</si>
  <si>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</si>
  <si>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</si>
  <si>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</si>
  <si>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</si>
  <si>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PKTMAG45</t>
  </si>
  <si>
    <t>TASUN543</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</si>
  <si>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</si>
  <si>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</si>
  <si>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</si>
  <si>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</si>
  <si>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</si>
  <si>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</si>
  <si>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</si>
  <si>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</si>
  <si>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</si>
  <si>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</si>
  <si>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</si>
  <si>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</si>
  <si>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</si>
  <si>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</si>
  <si>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</si>
  <si>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</si>
  <si>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</si>
  <si>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</si>
  <si>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</si>
  <si>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</si>
  <si>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</si>
  <si>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</si>
  <si>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</si>
  <si>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</si>
  <si>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PKTMAG113</t>
  </si>
  <si>
    <t>PKTMAG29</t>
  </si>
  <si>
    <t>Nª autos entre 3 y 6 m</t>
  </si>
  <si>
    <t>Nª autos más de 6 m</t>
  </si>
  <si>
    <t>RESOLUCION Nº  H/P</t>
  </si>
  <si>
    <t xml:space="preserve">RECRR344+(COMPAR44+AUTOSD44)*1.5
</t>
  </si>
  <si>
    <t>RECRR345+(COMPAR45+AUTOSD45)*1.5</t>
  </si>
  <si>
    <t>Ejecutorias reiniciadas</t>
  </si>
  <si>
    <t xml:space="preserve">Resolución ejecutorias </t>
  </si>
  <si>
    <t>DILPR222+DILPR322</t>
  </si>
  <si>
    <t>DELLE224+JUICI224</t>
  </si>
  <si>
    <t>INCOM424</t>
  </si>
  <si>
    <t>DILUR222+DILUR322</t>
  </si>
  <si>
    <t>Número dtos leves ingresados
Número dtos urgentes ingresados</t>
  </si>
  <si>
    <t>COMPL422</t>
  </si>
  <si>
    <t>EJEPEN27</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</si>
  <si>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</si>
  <si>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</si>
  <si>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</si>
  <si>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</si>
  <si>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</si>
  <si>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</si>
  <si>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</si>
  <si>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</si>
  <si>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</si>
  <si>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</si>
  <si>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</si>
  <si>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</si>
  <si>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</si>
  <si>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</si>
  <si>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</si>
  <si>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</si>
  <si>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</si>
  <si>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</si>
  <si>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</si>
  <si>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</si>
  <si>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</si>
  <si>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</si>
  <si>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</si>
  <si>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</si>
  <si>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</si>
  <si>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</si>
  <si>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</si>
  <si>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</si>
  <si>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</si>
  <si>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</si>
  <si>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</si>
  <si>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</si>
  <si>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</si>
  <si>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</si>
  <si>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</si>
  <si>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</si>
  <si>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</si>
  <si>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</si>
  <si>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</si>
  <si>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</si>
  <si>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</si>
  <si>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</si>
  <si>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</si>
  <si>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</si>
  <si>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</si>
  <si>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</si>
  <si>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</si>
  <si>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</si>
  <si>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</si>
  <si>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</si>
  <si>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</si>
  <si>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</si>
  <si>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</si>
  <si>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</si>
  <si>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</si>
  <si>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</si>
  <si>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</si>
  <si>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</si>
  <si>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</si>
  <si>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</si>
  <si>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</si>
  <si>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0.75*(CAUPR131+CAUPR231)+0.40*(RESTA131+RESTA231)+0.20*(CAURE131+CAURE231+RESRE131+RESRE231)+AUTER129*0</t>
  </si>
  <si>
    <t>% Ingreso Computable Dtos leves  2003</t>
  </si>
  <si>
    <t>Ejecutorias Ingresadas</t>
  </si>
  <si>
    <t>Pendencia Asuntos</t>
  </si>
  <si>
    <t>Nª sentencias entre 3 y 6 m</t>
  </si>
  <si>
    <t>Nª Sentencias más de 6 m</t>
  </si>
  <si>
    <t xml:space="preserve"> Asuntos ingresados 2</t>
  </si>
  <si>
    <t>EJEPEN31</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</si>
  <si>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</si>
  <si>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</si>
  <si>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</si>
  <si>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</si>
  <si>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</si>
  <si>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</si>
  <si>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</si>
  <si>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</si>
  <si>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</si>
  <si>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</si>
  <si>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</si>
  <si>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</si>
  <si>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</si>
  <si>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</si>
  <si>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</si>
  <si>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</si>
  <si>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</si>
  <si>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</si>
  <si>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</si>
  <si>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</si>
  <si>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</si>
  <si>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</si>
  <si>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</si>
  <si>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</si>
  <si>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</si>
  <si>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</si>
  <si>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</si>
  <si>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</si>
  <si>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</si>
  <si>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</si>
  <si>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</si>
  <si>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</si>
  <si>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</si>
  <si>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</si>
  <si>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</si>
  <si>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</si>
  <si>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</si>
  <si>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</si>
  <si>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</si>
  <si>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</si>
  <si>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</si>
  <si>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</si>
  <si>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</si>
  <si>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</si>
  <si>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</si>
  <si>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</si>
  <si>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</si>
  <si>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</si>
  <si>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</si>
  <si>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</si>
  <si>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</si>
  <si>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</si>
  <si>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</si>
  <si>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</si>
  <si>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PROCS127+DECAU127+NVL(TASUN151,0)</t>
  </si>
  <si>
    <t>PROCS227+PROCS327+DECAU227+NVL(TASUN251,0)+NVL(TASUN351,0)</t>
  </si>
  <si>
    <t>PROCS427+DECAU327+NVL(TASUN551,0)</t>
  </si>
  <si>
    <t>PROCS527+DECAU427+NVL(TASUN651,0)</t>
  </si>
  <si>
    <t>TSENTT28+DECAUT28+NVL(SENPET53,0)</t>
  </si>
  <si>
    <t>AUTOT128+AUTFIE28+NVL(AUTPEN53,0)+NVL(SOBVDM53,0)+NVL(SOBVGN53,0)+NVL(SOBRST53,0)+NVL(AUTVDM53,0)+NVL(AUTVGN53,0)+NVL(AULOPJ53,0)</t>
  </si>
  <si>
    <t>DECRED28+DECREE28+NVL(DECRE153,0)+NVL(DECRE253,0)</t>
  </si>
  <si>
    <t>EJECU227+EJEPE231+EJEJI231+EJJVM231+NVL(EJEPE251,0)</t>
  </si>
  <si>
    <t>EJECU427+EJEPS231+EJEPE431+EJEJS231+EJEJI431+EJJVS231+EJJVM431+NVL(EJEPE551,0)</t>
  </si>
  <si>
    <t>EJECU527+EJEPS331+EJEPE531+EJEJS331+EJEJI531+EJJVS331+EJJVM531+NVL(EJEPE651,0)</t>
  </si>
  <si>
    <t>PROCS427+NVL(TASUN551,0)</t>
  </si>
  <si>
    <t>PROCS527+NVL(TASUN651,0)</t>
  </si>
  <si>
    <t>PROCS227+NVL(TASUN251,0)-NVL(TASUN451,0)</t>
  </si>
  <si>
    <t>SENPEN28+NVL(SENPNP53,0)</t>
  </si>
  <si>
    <t>TJUSE227+TJUSE427+NVL(AUDSU251,0)+NVL(AUDSA251,0)</t>
  </si>
  <si>
    <t>TJUSE127+NVL(AUDCE251,0)</t>
  </si>
  <si>
    <t>SENPE128+NVL(SENPP153,0)</t>
  </si>
  <si>
    <t>SENPE228+NVL(SENPP253,0)</t>
  </si>
  <si>
    <t>SENPE328+NVL(SENPP353,0)</t>
  </si>
  <si>
    <t>EJECU327+EJEPE331+EJEJI331+EJJVM331+NVL(EJEPE351,0)</t>
  </si>
  <si>
    <t>ESCHAT43+NVL(TESCR040,0)</t>
  </si>
  <si>
    <t>TASUN143+NVL(TMOVM140,0)+NVL(PROCS127,0)+NVL(DECAU127,0)</t>
  </si>
  <si>
    <t>TASUN243+TASUN443+NVL(TMOVM240,0)+NVL(TMOVM340,0)+NVL(PROCS227,0)+NVL(PROCS327,0)+NVL(DECAU227,0)</t>
  </si>
  <si>
    <t>TASUN643+TASUN543+NVL(TMOVM540,0)+NVL(TMOVM440,0)+NVL(PROCS427,0)+NVL(DECAU327,0)</t>
  </si>
  <si>
    <t>TASUN743+NVL(TMOVM640,0)+NVL(PROCS527,0)+NVL(DECAU427,0)</t>
  </si>
  <si>
    <t>TSENTT44+NVL(TSENTT41,0)+NVL(TSENTT28,0)+NVL(DECAUT28,0)</t>
  </si>
  <si>
    <t>DECRET44+NVL(DECRE141,0)+NVL(DECRE241,0)+NVL(DECRED28,0)+NVL(DECREE28,0)</t>
  </si>
  <si>
    <t>EJECU243+EJECU246+NVL(TEJEC240,0)+NVL(EJECU227,0)+NVL(EJEPE231,0)+NVL(EJEJI231,0)+NVL(EJJVM231,0)</t>
  </si>
  <si>
    <t>EJECU543+EJECU446+NVL(TEJEC540,0)+NVL(EJECU427,0)+NVL(EJEPS231,0)+NVL(EJEPE431,0)+NVL(EJEJS231,0)+NVL(EJEJI431,0)+NVL(EJJVS231,0)+NVL(EJJVM431,0)</t>
  </si>
  <si>
    <t>EJECU643+EJECU546+NVL(TEJEC640,0)+NVL(EJECU527,0)+NVL(EJEPS331,0)+NVL(EJEPE531,0)+NVL(EJEJS331,0)+NVL(EJEJI531,0)+NVL(EJJVS331,0)+NVL(EJJVM531,0)</t>
  </si>
  <si>
    <t>SENPE444+NVL(SENPEN41,0)+NVL(SENPEN28,0)</t>
  </si>
  <si>
    <t>ESCMAT43+NVL(TESCR140,0)+NVL(ESCHAT27,0)</t>
  </si>
  <si>
    <t>SENIJ243+SENIJ443+NVL(SENIJ240,0)+NVL(SENIJ440,0)+NVL(TJUSE227,0)+NVL(TJUSE427,0)</t>
  </si>
  <si>
    <t>SENIJ343+NVL(SENIJ340,0)+NVL(TJUSE127,0)</t>
  </si>
  <si>
    <t>DEMPEN43+NVL(DEMPEN40,0)+NVL(DEMPEN27,0)</t>
  </si>
  <si>
    <t>EJECU343+EJECU346+NVL(TEJEC340,0)+NVL(EJECU327,0)+NVL(EJEPE331,0)+NVL(EJEJI331,0)+NVL(EJJVM331,0)</t>
  </si>
  <si>
    <t>NVL(PROCS227,0)</t>
  </si>
  <si>
    <t>AUTOS144+AUTOS244+AULOPJ44+NVL(AUTOST41,0)+NVL(AUTOS141,0)+NVL(AUTOS441,0)+NVL(AUTOS341,0)+NVL(AUTOS241,0)+NVL(AUTCA141,0)+NVL(AUTCA241,0)+NVL(AUTCA341,0)+NVL(AUTOT128,0)+NVL(AUTFIE28,0)+NVL(AUTER428,0)</t>
  </si>
  <si>
    <t>TASUN243+NVL(TMOVM240,0)+NVL(PROCS227,0)+NVL(EJEPE231,0)+NVL(EJEJI231,0)+NVL(EJJVM231,0)</t>
  </si>
  <si>
    <t>TASUN543+TASUN643+NVL(TMOVM240,0)+NVL(PROCS427,0)+NVL(EJEPS231,0)+NVL(EJEPE431,0)+NVL(EJEJS231,0)+NVL(EJEJI431,0)+NVL(EJJVS231,0)+NVL(EJJVM431,0)</t>
  </si>
  <si>
    <t>TASUN743+NVL(TMOVM640,0)+NVL(PROCS527,0)+NVL(EJEPS331,0)+NVL(EJEPE531,0)+NVL(EJEJS331,0)+NVL(EJEJI531,0)+NVL(EJJVS331,0)+NVL(EJJVM531,0)</t>
  </si>
  <si>
    <t>TASUN443+NVL(PROCS327,0)+NVL(JUICI327,0)+NVL(EJEPE331,0)+NVL(EJEJI331,0)+NVL(EJJVM331,0)</t>
  </si>
  <si>
    <t>6*(CONFLT44)+3.5*(DESPIT44)+3*(CANTIT44)+2.75*(SOCIAT44)+(SENTET44)+(CASE  WHEN (AAMAG144=0) THEN (PCONCI43)*0.5 ELSE (AAMAG144)*0.5 END)+3.5*MOVGE344+6*MATEL344+0.88*(4.5*NVL(DERFUT41,0)+4*NVL(PROORT41,0)+3.5*NVL(PROABT41,0)+1.5*NVL(AUTOS541,0)+0.5*NVL(AUTOS641,0)+NVL(AR110340,0)+4*(NVL(PROAR540,0)+NVL(PROAR640,0)+NVL(PROAR740,0))+1.5*NVL(RESTE340,0)+NVL(AUTOS141,0)+2*(NVL(DOMIC440,0)+NVL(DOMIC540,0))+1.5*(NVL(AUTCA341,0)))+1.05*(CASE NVL(PROCS427,0) WHEN 0 THEN 0 ELSE NVL(CONFOT28-(CONFOT28*(JUICI427/PROCS427))+2*(CONFOT28*(JUICI427/PROCS427))+5.5*(JUICI427/PROCS427)*(RESTAT28)+4.5*((RESTAT28)-(JUICI427/PROCS427)*(RESTAT28)),0) END +2.5*NVL(DECAUT28,0))+0.88*(0.75*NVL((CAUPR131+CAUPR231)+0.40*(RESTA131+RESTA231)+0.20*(CAURE131+CAURE231+RESRE131+RESRE231),0))</t>
  </si>
  <si>
    <t>PROCS327+NVL(TASUN351,0)</t>
  </si>
  <si>
    <t>CASE PROCS427 WHEN 0 THEN 0 ELSE NVL(CONFOT28-(CONFOT28*(JUICI427/PROCS427))+2*(CONFOT28*(JUICI427/PROCS427))+5.5*(JUICI427/PROCS427)*(RESTAT28)+4.5*((RESTAT28)-(JUICI427/PROCS427)*(RESTAT28)),0) END+2.5*DECAUT28+0.86*(4.5*(NVL(SEDVDT53,0)+NVL(SEDVGT53,0)+NVL(SENPDT53,0)-NVL(SENVDM53,0)-NVL(SENVGN53,0)-NVL(SENCNF53,0))+(NVL(SENVDM53,0)+NVL(SENVGN53,0)+NVL(SENCNF53,0))+1.75*(NVL(SENPFT53,0)+NVL(SEFVDT53,0)+NVL(SEFVGT53,0))+1.5*(NVL(AUTCAU53,0))+2*(NVL(AUTMOD53,0))+0.25*(NVL(AUTOTR53,0))+0.75*(NVL(AUTREG53,0))+0.5*(NVL(AUTEDU53,0))+2*(NVL(TVISIT51,0))+0.5*(NVL(TINTER51,0)))</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</si>
  <si>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</si>
  <si>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</si>
  <si>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</si>
  <si>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AUTFIN112&gt;0 THEN AUTFIN113/AUTFIN112 ELSE 0 END)*(0.2*(PETIC348)+(QINTE348)+0.75*(ALZAD348+REFOR348+RREFOR48)+1.25*(CLASI348)+0.5*(ANTIC348+RGENE348+EXTRA348+LCOTR348)+0.1*(REDEO348+REDEE348)+0.25*(QUEJA348+LIMIT348+COERC348)+0.1*(EXPED348+INTER348+AMBUL348+ACUMU348+OTRAQ348+PRRMS348+TRBEN348+RESCP348+RARGP348+APPRE348))</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</si>
  <si>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</si>
  <si>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</si>
  <si>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</si>
  <si>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 xml:space="preserve">(CASE WHEN SENPT313+SENCOV13+SENCON13+SENFT313&gt;0 THEN (SENPT314+SENICV14+SENINS14+SENFT314)/(SENPT313+SENCOV13+SENCON13+SENFT313) ELSE 0 END)*(2.84*TCON1311+4.5*(ORDIN311)+4.25*DIPAT311+2.5*(VERAR311+VERPO311+DEMAS311+VEROC311)+2*MECAU311+0.15*(MONIT311+MONIE311)+0.75*CAMBI311+1.5*(INCID311)+OTROC311) </t>
  </si>
  <si>
    <t>COMPETENCIAS</t>
  </si>
  <si>
    <t>MODULO DE ENTRADA 2018</t>
  </si>
  <si>
    <t>145</t>
  </si>
  <si>
    <t>MODULO DE RESOLUCION 2018</t>
  </si>
  <si>
    <t>MODULO DE PENDENCIA 2018</t>
  </si>
  <si>
    <t>Módulo Dedicación 2018</t>
  </si>
  <si>
    <t>Módulo Pendencia 
2018</t>
  </si>
  <si>
    <t>Módulo 
Entrada 2018</t>
  </si>
  <si>
    <t>146</t>
  </si>
  <si>
    <t>147</t>
  </si>
  <si>
    <t>MODULO TEÓRICO ENTRADA 2018</t>
  </si>
  <si>
    <t>Módulo entrada 2018</t>
  </si>
  <si>
    <t>%
Módulo entrada 2018</t>
  </si>
  <si>
    <t>TASUN243+EJECU243*(900/3500)
TASUN243+EJECU243</t>
  </si>
  <si>
    <t>TASUN643+EJECU543*(900/3500)
TASUN643+EJECU543</t>
  </si>
  <si>
    <t>TASUN743+EJECU643*(900/3500)
TASUN743+EJECU643</t>
  </si>
  <si>
    <t>900
800</t>
  </si>
  <si>
    <t>500
400</t>
  </si>
  <si>
    <t>MODULO DE TEORICO DE ENTRADA 2018</t>
  </si>
  <si>
    <t>148</t>
  </si>
  <si>
    <t>Pendencia  Concursos año anterior</t>
  </si>
  <si>
    <t>149</t>
  </si>
  <si>
    <t>TASUN251-TASUN451+EJEPE251</t>
  </si>
  <si>
    <t>TASUN551+EJEPE551</t>
  </si>
  <si>
    <t>TASUN651+EJEPE651</t>
  </si>
  <si>
    <t>EJEPE231+EJEJI231+EJJVM231+NVL(PROCS227,0)*4.8</t>
  </si>
  <si>
    <t>EJEPS231+EJEPE431+EJEJS231+EJEJI431+EJJVS231+EJJVM431+NVL(PROCS427,0)*4.8</t>
  </si>
  <si>
    <t>EJEPS331+EJEPE531+EJEJS331+EJEJI531+EJJVS331+EJJVM531+NVL(PROCS527,0)*4.8</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</si>
  <si>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</si>
  <si>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</si>
  <si>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</si>
  <si>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</si>
  <si>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</si>
  <si>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</si>
  <si>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PROCS227+NVL(TASUN251,0)-NVL(TASUN451,0)+EJECU227 * 0.2
PROCS227+NVL(TASUN251,0)-NVL(TASUN451,0)</t>
  </si>
  <si>
    <t>PROCS427+NVL(TASUN551,0)+EJECU427 * 0.2
PROCS427+NVL(TASUN551,0)</t>
  </si>
  <si>
    <t>PROCS527+NVL(TASUN651,0)+EJECU527 * 0.2
PROCS527+NVL(TASUN651,0)</t>
  </si>
  <si>
    <t>EJECU246+NVL(TASUN243,0)*(3500/900)</t>
  </si>
  <si>
    <t>EJECU446+NVL(TASUN643,0)*(3500/900)</t>
  </si>
  <si>
    <t>EJECU546+NVL(TASUN743,0)*(3500/900)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</si>
  <si>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</si>
  <si>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</si>
  <si>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</si>
  <si>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</si>
  <si>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</si>
  <si>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</si>
  <si>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</si>
  <si>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</si>
  <si>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</si>
  <si>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</si>
  <si>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</si>
  <si>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</si>
  <si>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</si>
  <si>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</si>
  <si>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</si>
  <si>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</si>
  <si>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</si>
  <si>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</si>
  <si>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</si>
  <si>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</si>
  <si>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</si>
  <si>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</si>
  <si>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</si>
  <si>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</si>
  <si>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</si>
  <si>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</si>
  <si>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</si>
  <si>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</si>
  <si>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</si>
  <si>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</si>
  <si>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</si>
  <si>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</si>
  <si>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</si>
  <si>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</si>
  <si>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</si>
  <si>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</si>
  <si>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TCON2211+MOVCO211*1.5+INCID211+MECAU211+TVOLU215+(TDERE218+MEDTO218+INCTO218)*0.8+INTEV215+AUTME215+PROMO218+PROES218+SOLRE215+TCIVI215+(NVL(CONCU219,0) +NVL(ICTOT219,0)+NVL(PCTOT219,0)+NVL(DILTO219,0)+NVL(MEDCA219,0)+NVL(EXPAR219,0)+NVL(MONIT219,0)+NVL(JURIS219,0))*1.5+NVL(EJTOT219,0)+(NVL(TPROC224,0)+NVL(PIESE224,0)+NVL(ASUEX224,0))*0.36</t>
  </si>
  <si>
    <t>TCONT211+TCON2211+MOVCO211+INCID211+MECAU211+TDERE218+TDERE318+PROMO218+PROES218+MEDTO218+INCTO218+AUTME215+SOLRE215</t>
  </si>
  <si>
    <t>TDERE218+MEDTO218+INCTO218+PROMO218+PROES218+SOLRE215</t>
  </si>
  <si>
    <t>TDERE218+MEDTO218+INCTO218+TVOLU215+INTEV215*0.2+AUTME215+PROMO218+PROES218+SOLRE215+TCIVI215+TCON2211*1.25+MOVCO211*1.875+INCID211*1.25+MECAU211*1.25+(NVL(CONCU219,0)+NVL(ICTOT219,0)+NVL(PCTOT219,0)+NVL(DILTO219,0)+NVL(MEDCA219,0)+NVL(EXPAR219,0)+NVL(MONIT219,0)+NVL(JURIS219,0))*1.875+NVL(EJTOT219,0)</t>
  </si>
  <si>
    <t>TCONT211+TCON2211+MOVCO211+INCID211+MECAU211+TDERE218+MEDTO218+INCTO218+EJEHI211+EJEHI311+OTRNJ211+OTRNJ311+(-DIVOC218)+(-SEPAM218)+(-MECON218)+(-GUCON218)+PROMO218+PROES218+SOLRE215</t>
  </si>
  <si>
    <t>TCON2211+MOVCO211*1.5+INCID211+MECAU211+TVOLU215+(TDERE218+MEDTO218+INCTO218)+INTEV215+AUTME215+PROMO218+PROES218+SOLRE215+TCIVI215+(NVL(CONCU219,0)+NVL(ICTOT219,0)+NVL(PCTOT219,0)+NVL(DILTO219,0)+NVL(MEDCA219,0)+NVL(EXPAR219,0)+NVL(SOLEX219,0)+NVL(MONIT219,0)+NVL(JURIS219,0))*1.5+NVL(EJTOT219,0)+NVL(PCTOT247,0)+NVL(MEDTO247,0)+NVL(INCTO247,0)</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</si>
  <si>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</si>
  <si>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NVL(CONCU219,0)+NVL(ICTOT219,0)+NVL(EXPAR219,0)+NVL(PCTOT219,0)+NVL(MONIT219,0)+NVL(JURIS219,0)+NVL(DILTO219,0)+NVL(MEDCA219,0)+NVL(ASTOT219,0)+INTEV215+NVL(TPROC224,0)+NVL(TPROC324,0)+PROMO218+PROES218+MEDTO218+INCTO218+NVL(PIESE224,0)+NVL(SOLEX119,0)+AUTME215+SOLRE215</t>
  </si>
  <si>
    <t>TCONT211+TCON2211+MOVCO211+INCID211+MECAU211+TDERE218-RUPTC218+MEDTO218+INCTO218+EJEHI211+OTRNJ211+(-DIVOC218)+(-SEPAM218)+(-MECON218)+(-GUCON218)+NVL(CONCU219,0)*2+NVL(ICTOT219,0)*2+INTEV215*0.2+AUTMC215*0.2+AUTMP215+NVL(PCTOT219,0)*2+NVL(DILTO219,0)*2+NVL(MEDCA219,0)*2+NVL(EXPAR219,0)*2+PROMO218+PROES218+SOLRE215</t>
  </si>
  <si>
    <t>TCONT211+TCON2211+INCID211+MECAU211+MOVCO211+TVOLU215+INTEV215*0.16+TDERE218*0.8+MEDTO218*0.8+INCTO218*0.8+NVL(CONCU219,0)*2.2+NVL(ICTOT219,0)*2.2+NVL(EXPAR219,0)*2.2+NVL(PCTOT219,0)*2.2+NVL(DILTO219,0)*2.2+NVL(MEDCA219,0)*2.2+NVL(ASTOT219,0)*2.2+NVL(JURIS219,0)+NVL(MONIT219,0)+NVL(TPROC224,0)*0.36+PROMO218+PROES218+AUTME215+SOLRE215</t>
  </si>
  <si>
    <t>TCONT211+TCON2211+TVOLU215+INCID211+MECAU211+MOVCO211+INTEV215+TDERE218+TDERE318+MEDTO218+NVL(CONCU219,0)+NVL(ICTOT219,0)+NVL(EXPAR219,0)+NVL(PCTOT219,0)+NVL(DILTO219,0)+NVL(MEDCA219,0)+NVL(ASTOT219,0)+ NVL(JURIS119,0)+NVL(MONIT219,0)+NVL(TPROC224,0)+PROMO218+PROES218+SOLRE215+INCTO218+AUTME215</t>
  </si>
  <si>
    <t>TCONT211+TCON2211+MOVCO211+INCID211+MECAU211+TDERE218+TDERE318+INTEV215+PROMO218+PROES218+MEDTO218+INCTO218+SOLRE215+AUTME215</t>
  </si>
  <si>
    <t>TDERE218+MEDTO218+INCTO218+PROMO218+PROES218+SOLRE215+INTEV215*0.2+AUTMC215*0.2+AUTMP215+TCON2211+INCID211+MECAU211</t>
  </si>
  <si>
    <t>TDERE218+TVOLU215+INCID211+MECAU211+MOVCO211+INTEV215*0.2+MEDTO218+INCTO218+NVL(CONCU219,0)*2.2+NVL(ICTOT219,0)*2.2+NVL(EXPAR219,0)*2.2+NVL(PCTOT219,0)*2.2+NVL(DILTO219,0)*2.2+NVL(MEDCA219,0)*2.2+NVL(ASTOT219,0)*2.2+TCONT211*1.25+TCON2211*1.25+PROMO218+PROES218+AUTME215+SOLRE215</t>
  </si>
  <si>
    <t>TDERE218+TDERE318+TVOLU215+INTEV215+INCID211+MECAU211+MOVCO211+MEDTO218+INCTO218+NVL(CONCU219,0)+NVL(ICTOT219,0)+NVL(EXPAR219,0)+NVL(PCTOT219,0)+NVL(DILTO219,0)+NVL(MEDCA219,0)+NVL(ASTOT219,0)+TCONT211+TCON2211+PROMO218+PROES218+SOLRE215+AUTME215</t>
  </si>
  <si>
    <t>TCON2211+MOVCO211*1.5+INCID211+MECAU211+TVOLU215+(TDERE218+MEDTO218+INCTO218)+INTEV215+AUTME215+PROMO218+PROES218+SOLRE215+TCIVI215+(NVL(CONCU219,0)+NVL(ICTOT219,0)+NVL(PCTOT219,0)+NVL(DILTO219,0)+NVL(MEDCA219,0)+NVL(EXPAR219,0)+NVL(SOLEX219,0)+NVL(MONIT219,0)+NVL(JURIS219,0))*1.5+NVL(EJTOT219,0)+NVL(PCTOT247,0)</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</si>
  <si>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</si>
  <si>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TCON1111+MOVCO111+INCID111+MECAU111+TCON2111+TDERE118+NVL(CONCU119,0)+NVL(ICTOT119,0)+NVL(EXPAR119,0)+NVL(PCTOT119,0)+NVL(MONIT119,0)+NVL(JURIS119,0)+NVL(DILTO119,0)+NVL(MEDCA119,0)+NVL(ASTOT119,0)+INTEV115+PROMO118+PROES118+MEDTO118+INCTO118+AUTME115+SOLRE115</t>
  </si>
  <si>
    <t>TCON1111+MOVCO111+INCID111+MECAU111+TCON2111+TDERE118+INTEV115+PROMO118+PROES118+MEDTO118+INCTO118+AUTME115+SOLRE115</t>
  </si>
  <si>
    <t>TCON1111+MOVCO111+INCID111+MECAU111+TCON2111+TDERE118+NVL(PCTOT147,0)+NVL(CONCU119,0)+NVL(ICTOT119,0)+NVL(EXPAR119,0)+NVL(PCTOT119,0)+NVL(MONIT119,0)+NVL(JURIS119,0)+NVL(DILTO119,0)+NVL(MEDCA119,0)+NVL(ASTOT119,0)+INTEV115+PROMO118+PROES118+MEDTO118+INCTO118+AUTME115+SOLRE115</t>
  </si>
  <si>
    <t>TCON1111+MOVCO111+INCID111+MECAU111+TCON2111+TDERE118+PROMO118+PROES118+MEDTO118+INCTO118+AUTME115+SOLRE115</t>
  </si>
  <si>
    <t>TCON1311+TCON2311+MOVCO511+MOVCO611+MOVCO711+INCID311+MECAU311+TDERE418+TDERE518+PROMO318+PROES318+MEDTO318+INCTO318+SOLRE315+AUTME315</t>
  </si>
  <si>
    <t>TCON1311+TCON2311+MOVCO511+MOVCO611+MOVCO711+INCID311+MECAU311+TDERE418+TDERE518+NVL(CONCU519,0)+NVL(CONCU619,0)+NVL(CONCU719,0)+NVL(ICTOT319,0)+NVL(EXPAR319,0)+NVL(PCTOT419,0)+NVL(MONIT319,0)+NVL(JURIS419,0)+NVL(DILTO319,0)+NVL(MEDCA319,0)+NVL(ASTOT319,0)+INTEV315+NVL(TPROC424,0)+PROMO318+PROES318+MEDTO318+INCTO318+NVL(PIESE324,0)+AUTME315+SOLRE315</t>
  </si>
  <si>
    <t>2.84*TCON1311+12*(QUIEB311)+12*(SUSPE311)+(EJEHI411+EJEHI511)+4.5*(ORDIN311)+4.25*(DIPAT311+MOVCO711)+2.5*(VERAR311+VERPO311+DEMAS311+VEROC311)+2*MECAU311+0.15*(MONIT311+MONIE311)+0.75*CAMBI311+1.5*(INCID311+INCTO318)+PROMO318+PROES318+OTRAP518+OTROC311+6*(NULID518)+0.5*(DIVOC518+SEPAM518)+3.25*(DIVON518+SEPAC518)+EFICA518+MEDTO318+0.5*(GUCON518)+3.25*(GUNOC518)+0.5*(MECON518)+3.25*(MENOC518)+0.5*(RUPTC518)+AUTMP315+3.25*(RUPTN518)+4.5*(JUORD518)+4.25*(LIREG518)+2.5*(JUVER518)+2.5*(SUSTR518)+SOLRE315+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</si>
  <si>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+2*MECAU311+0.15*(MONIT311+MONIE311)+0.75*CAMBI311+1.5*(INCID311)+OTROC311+PROMO318+PROES318+6*(NULID518)+0.5*(DIVOC518+SEPAM518)+3.25*(DIVON518+SEPAC518)+EFICA518+MEDTO318+0.5*(GUCON518)+3.25*(GUNOC518)+0.5*(MECON518)+3.25*(MENOC518)+4.5*(JUORD518)+4.25*(LIREG518)+2.5*(JUVER518)+1.5*(INCTO318)+OTRAP518+2.5*SUSTR518+0.5*RUPTC518+3.25*RUPTN518+AUTMP315+SOLRE315)</t>
  </si>
  <si>
    <t>TCON2311+MOVCO711*1.5+INCID311+MECAU311+TVOLU315+(TDERE418+TDERE518+MEDTO318+INCTO318)*0.8+INTEV315+AUTME315+PROMO318+PROES318+SOLRE315+TCIVI515+(NVL(CONCU719,0)+NVL(ICTOT319,0)+NVL(PCTOT419,0)+NVL(DILTO319,0)+NVL(MEDCA319,0)+NVL(EXPAR319,0)+NVL(MONIT319,0)+NVL(JURIS419,0))*1.5+NVL(EJTOT519,0)+(NVL(TPROC424,0)+NVL(PIESE324,0)+NVL(ASUEX324,0))*0.36</t>
  </si>
  <si>
    <t>(CASE WHEN SENFT313&gt;0 THEN SENFT314/SENFT313 ELSE 0 END)*(6*(NULID518)+0.5*(DIVOC518+SEPAM518)+3.25*(DIVON518+SEPAC518)+EFICA518+MEDTO318+0.5*(GUCON518)+3.25*(GUNOC518)+0.5*(MECON518)+3.25*(MENOC518)+4.5*(JUORD518)+4.25*(LIREG518)+2.5*(JUVER518+PROMO318+PROES318)+OTRAP518+2.5*SUSTR518+0.5*RUPTC518+3.25*RUPTN518+AUTMP315+SOLRE315+OTROC311)+1.5*( INCTO318)</t>
  </si>
  <si>
    <t>TDERE418+TDERE518+MEDTO318+INCTO318*0.6+TVOLU315*0.32+INTEV315+AUTME315+(PROMO318+PROES318)*1.6+SOLRE315+TCIVI515+TCON2311*1.25+MOVCO711*1.875+INCID311*1.25+MECAU311*1.25+(NVL(CONCU719,0)+NVL(ICTOT319,0)+NVL(PCTOT419,0)+NVL(DILTO319,0)+NVL(MEDCA319,0)+NVL(EXPAR319,0)+NVL(MONIT319,0)+NVL(JURIS419,0))*1.875+NVL(EJTOT319,0)</t>
  </si>
  <si>
    <t>TCON1311+TCON2311+MOVCO511+MOVCO611+MOVCO711+INCID311+MECAU311+TDERE418+TDERE518+NVL(PCTOT447,0)+NVL(PCTOT547,0)+NVL(CONCU519,0)+NVL(CONCU619,0)+NVL(CONCU719,0)+NVL(ICTOT319,0)+NVL(EXPAR319,0)+NVL(PCTOT419,0)+NVL(MONIT319,0)+NVL(JURIS419,0)+NVL(DILTO319,0)+NVL(MEDCA319,0)+NVL(ASTOT319,0)+INTEV315+PROMO318+PROES318+MEDTO318+INCTO318+NVL(MEDTO347,0)+NVL(INCTO347,0)+AUTME315+SOLRE315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</si>
  <si>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</si>
  <si>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2.84*TCON1311+12*(QUIEB311)+12*(SUSPE311)+(EJEHI411+EJEHI511)+4.5*(ORDIN311+JUORD518)+4.25*(DIPAT311+LIREG518+MOVCO711)+2.5*(VERAR311+VERPO311+DEMAS311+JUVER518+VEROC311)+2*(MECAU311)+0.15*(MONIT311+MONIE311)+0.75*(CAMBI311)+1.5*(INCID311+INCTO318)+6*(NULID518)+0.5*(SEPAM518+DIVOC518)+3.25*(SEPAC518+DIVON518)+(EFICA518)+(MEDTO318)+0.5*(GUCON518)+3.25*(GUNOC518)+0.5*(MECON518)+2.5*(SUSTR518)+0.5*(RUPTC518)+3.25*(RUPTN518)+AUTMP315+3.25*(MENOC518)+(OTRAP518+OTROC311+PROMO318+PROES318)+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</si>
  <si>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VERAR311+VERPO311+DEMAS311+JUVER518+VEROC311)+2*(MECAU311)+0.15*(MONIT311+MONIE311)+0.75*(CAMBI311)+1.5*(INCID311++INCTO318)+6*(NULID518)+0.5*(SEPAM518+DIVOC518)+3.25*(SEPAC518+DIVON518)+(EFICA518)+MEDTO318+0.5*(GUCON518)+3.25*(GUNOC518)+0.5*(MECON518)+3.25*(MENOC518)+(OTRAP518+OTROC311+PROMO318+PROES318)+2.5*SUSTR518+0.5*RUPTC518+3.25*RUPTN518+AUTMP315+SOLRE315)</t>
  </si>
  <si>
    <t>TCON2311+MOVCO711*1.5+INCID311+MECAU311+TVOLU315+(TDERE418+TDERE518+MEDTO318+INCTO318)+INTEV315+AUTME315+PROMO318+PROES318+SOLRE315+TCIVI515 +(NVL(CONCU719,0)+NVL(ICTOT319,0)+NVL(PCTOT419,0)+NVL(DILTO319,0)+NVL(MEDCA319,0)+NVL(EXPAR319,0)+NVL(MONIT319,0)+NVL(JURIS419,0))*1.5+NVL(EJTOT519,0)+NVL(PCTOT447,0)+NVL(PCTOT547,0)</t>
  </si>
  <si>
    <t>(CASE WHEN SENPT313+SENCOV13+SENCON13+SENFT313&gt;0 THEN (SENPT314+SENICV14+SENINS14+SENFT314)/(SENPT313+SENCOV13+SENCON13+SENFT313) ELSE 0 END)*(2.84*TCON1311+4.5*(ORDIN311)+4.25*DIPAT311+2.5*(VERAR311+VERPO311+DEMAS311+VEROC311)+2*MECAU311+0.15*(MONIT311+MONIE311)+0.75*CAMBI311+1.5*(INCID311+INCTO318)+OTROC311+PROMO318+PROES318+6*(NULID518)+0.5*(DIVOC518+SEPAM518)+3.25*(DIVON518+SEPAC518)+EFICA518+MEDTO318+0.5*(GUCON518)+3.25*(GUNOC518)+0.5*(MECON518)+3.25*(MENOC518)+4.5*(JUORD518)+4.25*(LIREG518)+2.5*(JUVER518)+OTRAP518)</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</si>
  <si>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</si>
  <si>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</si>
  <si>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TCON1311+TCON2311+MOVCO511+MOVCO611+MOVCO711+INCID311+MECAU311+TDERE418+TDERE518+INTEV315+PROMO318+PROES318+MEDTO318+INCTO318+AUTME315+SOLRE315</t>
  </si>
  <si>
    <t>TDERE518+MEDTO318+INCTO318+PROMO318+PROES318+SOLRE315+INTEV315+AUTMC315+AUTMP315+TCON2311+INCID311+MECAU311</t>
  </si>
  <si>
    <t>6*(NULID518)+0.5*(DIVOC518+SEPAM518)+3.25*(DIVON518+SEPAC518)+MEDTO318+0.5*(GUCON518)+3.25*(GUNOC518)+0.5*(MECON518)+3.25*(MENOC518)+4.5*(JUORD518)+4.25*(LIREG518)+2.5*(JUVER518+PROMO318+PROES318)+1.5*(INCTO318)+OTRAP518+OTROC311+EFICA518+2.5*(SUSTR518)+0.5*(RUPTC518)+3.25*(RUPTN518)+AUTMP315+SOLRE315</t>
  </si>
  <si>
    <t>2.84*NVL(TCON1311,0)+4.5*(NVL(ORDIN311,0)+NVL(JUORD518,0))+4.25*(NVL(DIPAT311,0)+NVL(LIREG518,0))+2.5*(NVL(VERAR311,0)+NVL(VERPO311,0)+NVL(DEMAS311,0)+ NVL(JUVER518,0)+NVL(VEROC311,0))+2*(NVL(MECAU311,0))+0.15*(NVL(MONIT311,0)+NVL(MONIE311,0))+0.75*(NVL(CAMBI311,0))+1.5*(NVL(INCID311,0)+NVL(INCTO318,0))+6*(NVL(NULID518,0))+0.5*(NVL(SEPAM518,0)+NVL(DIVOC518,0))+3.25*(NVL(SEPAC518,0)+NVL(DIVON518,0))+(NVL(EFICA518,0))+0.5*(NVL(GUCON518,0))+3.25*(NVL(GUNOC518,0))+0.5*(NVL(MECON518,0))+3.25*(NVL(MENOC518,0))+(NVL(PROMO318,0)+NVL(PROES318,0))+NVL(MEDTO318,0)+(NVL(OTRAP518,0)+NVL(OTROC311,0))</t>
  </si>
  <si>
    <t>TCON1411+TCON2411+TDERE618+PROMO418+PROES418+MOVCO811+INCID411+MECAU411+MEDTO418+INCTO418+SOLRE415+AUTME415</t>
  </si>
  <si>
    <t>TCON1411+TCON2411+TDERE618+NVL(CONCU819,0)+NVL(ICTOT419,0)+NVL(EXPAR419,0)+NVL(PCTOT519,0)+NVL(MONIT419,0)+NVL(JURIS519,0)+NVL(DILTO419,0)+NVL(MEDCA419,0)+NVL(ASTOT419,0)+INTEV415+NVL(TPROC524,0)+PROMO418+PROES418+MOVCO811+INCID411+MECAU411+MEDTO418+INCTO418+NVL(PIESE424,0)+AUTME415+SOLRE415</t>
  </si>
  <si>
    <t>TCON1411+TCON2411+MOVCO811+INCID411+MECAU411+TDERE618-RUPTC618+MEDTO418+INCTO418+EJEHI611+OTRNJ611+(-DIVOC618)+(-SEPAM618)+(-MECON618)+(-GUCON618)+NVL(CONCU819,0)*2+INTEV415*0.2+AUTMC415*0.2+AUTMP415+NVL(ICTOT419,0)*2+NVL(EXPAR419,0)*2+NVL(PCTOT519,0)*2+NVL(DILTO419,0)*2+NVL(MEDCA419,0)*2+PROMO418+PROES418+SOLRE415</t>
  </si>
  <si>
    <t>TCON2411+MOVCO811*1.5+INCID411+MECAU411+TVOLU415+(TDERE618+MEDTO418+INCTO418)*0.8+INTEV415+AUTME415+PROMO418+PROES418+SOLRE415+TCIVI615+(NVL(CONCU819,0)+NVL(ICTOT419,0)+NVL(PCTOT519,0)+NVL(DILTO419,0)+NVL(MEDCA419,0)+NVL(EXPAR419,0)+NVL(MONIT419,0)+NVL(JURIS519,0))*1.5+NVL(EJTOT619,0)+(NVL(TPROC524,0)+NVL(PIESE424,0)+NVL(ASUEX424,0))*0.36</t>
  </si>
  <si>
    <t>TCON1411+TCON2411+TDERE618+INTEV415+PROMO418+PROES418+MOVCO811+INCID411+MECAU411+MEDTO418+INCTO418+AUTME415+SOLRE415</t>
  </si>
  <si>
    <t>TDERE618+PROMO418+PROES418+MEDTO418+INCTO418+INTEV415+AUTMC415+AUTMP415+SOLRE415+TCON2411+INCID411+MECAU411</t>
  </si>
  <si>
    <t>TDERE618+MEDTO418+INCTO418+TVOLU415*0.6+INTEV415*0.32+AUTME415+(PROMO418+PROES418)*1.6+SOLRE415+TCIVI615+TCON2411*1.25+MOVCO811*1.875+INCID411*1.25+MECAU411*1.25+(NVL(CONCU819,0)+NVL(ICTOT419,0)+NVL(PCTOT519,0)+NVL(DILTO419,0)+NVL(MEDCA419,0)+NVL(EXPAR419,0)+NVL(MONIT419,0)+NVL(JURIS519,0))*1.875+NVL(EJTOT419,0)</t>
  </si>
  <si>
    <t>TCON1411+TCON2411+TDERE618+NVL(PCTOT647,0)+NVL(CONCU819,0)+NVL(ICTOT419,0)+NVL(EXPAR419,0)+NVL(PCTOT519,0)+NVL(MONIT419,0)+NVL(JURIS519,0)+NVL(DILTO419,0)+NVL(MEDCA419,0)+NVL(ASTOT419,0)+INTEV415+PROMO418+PROES418+MOVCO811+INCID411+MECAU411+MEDTO418+INCTO418+NVL(MEDTO447,0)+NVL(INCTO447,0)+AUTME415+SOLRE415</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</si>
  <si>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</si>
  <si>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TCON2411+MOVCO811*1.5+INCID411+MECAU411+TVOLU415+(TDERE618+MEDTO418+INCTO418)+INTEV415*+AUTME415+PROMO418+PROES418+SOLRE415+TCIVI615 +(NVL(CONCU819,0)+NVL(ICTOT419,0)+NVL(PCTOT519,0)+NVL(DILTO419,0)+NVL(MEDCA419,0)+NVL(EXPAR419,0)+NVL(MONIT419,0)+NVL(JURIS519,0))*1.5+NVL(EJTOT619,0)+NVL(PCTOT647,0)</t>
  </si>
  <si>
    <t>TPROC524+PIESE424+ASUEX424+(NVL(TPROC722,0)+NVL(PCTOT447,0))+(NVL(TCON2411,0)+NVL(MOVCO811,0)*1.5+NVL(INCID411,0)+NVL(MECAU411,0)+NVL(TVOLU415,0)+(NVL(TDERE418,0)+NVL(MEDTO418,0)+NVL(INCTO418,0))+NVL(INTEV415,0)+NVL(AUTME415,0)+NVL(PROMO418,0)+NVL(PROES418,0)+NVL(SOLRE415,0)+NVL(TCIVI615,0))*2.75</t>
  </si>
  <si>
    <t>TDERE218+MEDTO218+INCTO218+TVOLU215*0.6+INTEV215*0.32+AUTME215+(PROMO218+PROES218)*1.6+SOLRE215+TCIVI215+TCON2211*1.25+MOVCO211*1.875+INCID211*1.25+MECAU211*1.25+(NVL(CONCU219,0)+NVL(ICTOT219,0)+NVL(PCTOT219,0)+NVL(DILTO219,0)+NVL(MEDCA219,0)+NVL(EXPAR219,0)+NVL(MONIT219,0)+NVL(JURIS219,0))*1.875+NVL(EJTOT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</si>
  <si>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</si>
  <si>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t>
  </si>
  <si>
    <t>TCONT211+TCON2211+INCID211+MECAU211+MOVCO211+TVOLU215+INTEV215+TDERE218+MEDTO218+INCTO218+NVL(CONCU219,0)*2.2+NVL(ICTOT219,0)*2.2+NVL(EXPAR219,0)*2.2+NVL(PCTOT219,0)*2.2+NVL(DILTO219,0)*2.2+NVL(MEDCA219,0)*2.2+NVL(ASTOT219,0)*2.2+NVL(JURIS219,0)+NVL(MONIT219,0)+PROMO218+PROES218+AUTME215+SOLRE215</t>
  </si>
  <si>
    <t>TCONT211+TCON2211+INCID211+MECAU211+TVOLU215+MOVCO211+INTEV215+TDERE218+TDERE318+MEDTO218+NVL(CONCU219,0)+NVL(ICTOT219,0)+NVL(EXPAR219,0)+NVL(PCTOT219,0)+NVL(DILTO219,0)+NVL(MEDCA219,0)+NVL(ASTOT219,0)+ NVL(JURIS119,0)+NVL(MONIT219,0)+PROMO218+PROES218+SOLRE215+INCTO218</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</si>
  <si>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</si>
  <si>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</si>
  <si>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</si>
  <si>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</si>
  <si>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</si>
  <si>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</si>
  <si>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</si>
  <si>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</si>
  <si>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</si>
  <si>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</si>
  <si>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</si>
  <si>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</si>
  <si>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</si>
  <si>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</si>
  <si>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</si>
  <si>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</si>
  <si>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r>
      <rPr>
        <b/>
        <sz val="10"/>
        <rFont val="Arial"/>
        <family val="2"/>
      </rPr>
      <t xml:space="preserve">Tasa de pendencia: </t>
    </r>
    <r>
      <rPr>
        <sz val="10"/>
        <rFont val="Arial"/>
        <family val="2"/>
      </rPr>
      <t>Cociente entre los asuntos pendientes al final del periodo y los resueltos en ese periodo. 
Cuando el periodo del informe sea un año, si se multiplica la tasa de pendencia por 12 ofrece una estimación del número de meses que se necesitaría, con el mismo ritmo resolutivo y sin ningún ingreso, para acabar con la pendencia. Cuando el informe sea trimestral la misma estimación se hace multiplicando la tasa de pendencia por 3.
Su principal finalidad es permitir la comparación de la pendencia de órganos, territorios, o jurisdicciones, o de estos a lo largo del tiempo.
Un órgano, territorio o jurisdicción está en mejor situación cuanto menor sea su tasa de pendencia.</t>
    </r>
  </si>
  <si>
    <t>De menos de 3 meses (Instrucción y JVM Penal Menos de 1 mes)</t>
  </si>
  <si>
    <t>De entre 3 y 6 meses (Instrucción y JVM Penal Entre 1 y 3 meses)</t>
  </si>
  <si>
    <t>De más de 6 meses (Instrucción y JVM Penal Más de 3 meses)</t>
  </si>
  <si>
    <t>Fecha Informe: 05 abr. 2022</t>
  </si>
  <si>
    <t>Tribunales de Justicia</t>
  </si>
  <si>
    <t>ANDALUCIA</t>
  </si>
  <si>
    <t>Provincias</t>
  </si>
  <si>
    <t>MALAGA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</si>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</sst>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0"/>
      <name val="Arial"/>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sz val="10"/>
      <color indexed="12"/>
      <name val="News Gothic MT"/>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1"/>
      <name val="Calibri"/>
      <family val="2"/>
    </font>
    <font>
      <sz val="14"/>
      <name val="Verdana"/>
      <family val="2"/>
    </font>
    <font>
      <b/>
      <sz val="14"/>
      <color indexed="62"/>
      <name val="Verdana"/>
      <family val="2"/>
    </font>
    <font>
      <sz val="14"/>
      <name val="Arial"/>
      <family val="2"/>
    </font>
    <font>
      <sz val="10"/>
      <name val="Arial"/>
      <family val="2"/>
    </font>
    <font>
      <u/>
      <sz val="11"/>
      <name val="Arial"/>
      <family val="2"/>
    </font>
    <font>
      <sz val="10"/>
      <name val="Arial"/>
      <family val="2"/>
    </font>
    <font>
      <b/>
      <sz val="9"/>
      <name val="Arial"/>
      <family val="2"/>
    </font>
    <font>
      <b/>
      <sz val="11"/>
      <name val="Times New Roman"/>
      <family val="1"/>
    </font>
    <font>
      <b/>
      <sz val="9"/>
      <color indexed="81"/>
      <name val="Tahoma"/>
      <charset val="1"/>
    </font>
    <font>
      <sz val="9"/>
      <color indexed="81"/>
      <name val="Tahoma"/>
      <charset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s>
  <fills count="2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s>
  <borders count="123">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8">
    <xf numFmtId="0" fontId="0" fillId="0" borderId="0"/>
    <xf numFmtId="167" fontId="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7" fontId="13" fillId="0" borderId="0" applyFont="0" applyFill="0" applyBorder="0" applyAlignment="0" applyProtection="0"/>
    <xf numFmtId="167" fontId="75" fillId="0" borderId="0" applyFont="0" applyFill="0" applyBorder="0" applyAlignment="0" applyProtection="0"/>
    <xf numFmtId="164" fontId="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164" fontId="13" fillId="0" borderId="0" applyFont="0" applyFill="0" applyBorder="0" applyAlignment="0" applyProtection="0"/>
    <xf numFmtId="164" fontId="75" fillId="0" borderId="0" applyFont="0" applyFill="0" applyBorder="0" applyAlignment="0" applyProtection="0"/>
    <xf numFmtId="0" fontId="13" fillId="0" borderId="0"/>
    <xf numFmtId="0" fontId="13" fillId="0" borderId="0"/>
    <xf numFmtId="0" fontId="82" fillId="0" borderId="0"/>
    <xf numFmtId="0" fontId="25" fillId="0" borderId="0"/>
    <xf numFmtId="9" fontId="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9" fontId="13" fillId="0" borderId="0" applyFont="0" applyFill="0" applyBorder="0" applyAlignment="0" applyProtection="0"/>
    <xf numFmtId="9" fontId="75" fillId="0" borderId="0" applyFont="0" applyFill="0" applyBorder="0" applyAlignment="0" applyProtection="0"/>
    <xf numFmtId="0" fontId="1" fillId="0" borderId="0"/>
    <xf numFmtId="0" fontId="2" fillId="0" borderId="0"/>
    <xf numFmtId="167" fontId="13" fillId="0" borderId="0" applyFont="0" applyFill="0" applyBorder="0" applyAlignment="0" applyProtection="0"/>
    <xf numFmtId="164" fontId="2" fillId="0" borderId="0" applyFont="0" applyFill="0" applyBorder="0" applyAlignment="0" applyProtection="0"/>
    <xf numFmtId="164" fontId="13" fillId="0" borderId="0" applyFont="0" applyFill="0" applyBorder="0" applyAlignment="0" applyProtection="0"/>
    <xf numFmtId="0" fontId="1" fillId="0" borderId="0"/>
    <xf numFmtId="9" fontId="2" fillId="0" borderId="0" applyFont="0" applyFill="0" applyBorder="0" applyAlignment="0" applyProtection="0"/>
    <xf numFmtId="9" fontId="13" fillId="0" borderId="0" applyFont="0" applyFill="0" applyBorder="0" applyAlignment="0" applyProtection="0"/>
  </cellStyleXfs>
  <cellXfs count="1915">
    <xf numFmtId="0" fontId="0" fillId="0" borderId="0" xfId="0"/>
    <xf numFmtId="0" fontId="9"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5" fillId="0" borderId="5" xfId="0" applyNumberFormat="1" applyFont="1" applyBorder="1" applyAlignment="1" applyProtection="1">
      <alignment horizontal="left" vertical="top" wrapText="1"/>
      <protection locked="0"/>
    </xf>
    <xf numFmtId="0" fontId="7" fillId="0" borderId="6" xfId="0" applyFont="1" applyBorder="1" applyAlignment="1">
      <alignment horizontal="justify" vertical="top" wrapText="1"/>
    </xf>
    <xf numFmtId="0" fontId="0" fillId="0" borderId="0" xfId="0" applyProtection="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7" fillId="0" borderId="16" xfId="0" applyFont="1" applyBorder="1" applyAlignment="1" applyProtection="1">
      <alignment horizontal="justify" vertical="top" wrapText="1"/>
      <protection locked="0"/>
    </xf>
    <xf numFmtId="49" fontId="5" fillId="0" borderId="5" xfId="0" applyNumberFormat="1" applyFont="1" applyBorder="1" applyAlignment="1" applyProtection="1">
      <alignment horizontal="center" vertical="top" wrapText="1"/>
      <protection locked="0"/>
    </xf>
    <xf numFmtId="49" fontId="7" fillId="0" borderId="17" xfId="0" applyNumberFormat="1" applyFont="1" applyBorder="1" applyAlignment="1" applyProtection="1">
      <alignment horizontal="left" vertical="top" wrapText="1"/>
      <protection locked="0"/>
    </xf>
    <xf numFmtId="49" fontId="5" fillId="0" borderId="16" xfId="0" applyNumberFormat="1" applyFont="1" applyBorder="1" applyAlignment="1" applyProtection="1">
      <alignment horizontal="center" vertical="top" wrapText="1"/>
      <protection locked="0"/>
    </xf>
    <xf numFmtId="49" fontId="3"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5"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5" fillId="0" borderId="18" xfId="0" applyNumberFormat="1" applyFont="1" applyBorder="1" applyAlignment="1" applyProtection="1">
      <alignment horizontal="left" vertical="top" wrapText="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9"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5" fillId="2" borderId="29"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5" fillId="2" borderId="8" xfId="0" applyFont="1" applyFill="1" applyBorder="1" applyAlignment="1" applyProtection="1">
      <alignment horizontal="center" vertical="center" textRotation="90" wrapText="1"/>
      <protection locked="0"/>
    </xf>
    <xf numFmtId="0" fontId="5"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8"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8" fillId="4" borderId="10"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center" vertical="top" wrapText="1"/>
      <protection locked="0"/>
    </xf>
    <xf numFmtId="49" fontId="3" fillId="4" borderId="9" xfId="0" applyNumberFormat="1" applyFont="1" applyFill="1" applyBorder="1" applyAlignment="1" applyProtection="1">
      <alignment horizontal="center" vertical="top" wrapText="1"/>
      <protection locked="0"/>
    </xf>
    <xf numFmtId="49" fontId="3" fillId="4" borderId="9" xfId="0" applyNumberFormat="1" applyFont="1" applyFill="1" applyBorder="1" applyAlignment="1" applyProtection="1">
      <alignment horizontal="left" vertical="top" wrapText="1"/>
      <protection locked="0"/>
    </xf>
    <xf numFmtId="49" fontId="3"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6" fillId="4" borderId="13" xfId="0" applyNumberFormat="1" applyFont="1" applyFill="1" applyBorder="1" applyAlignment="1" applyProtection="1">
      <alignment horizontal="center" vertical="top" wrapText="1"/>
      <protection locked="0"/>
    </xf>
    <xf numFmtId="49" fontId="6"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49" fontId="10" fillId="4" borderId="12" xfId="0" applyNumberFormat="1" applyFont="1" applyFill="1" applyBorder="1" applyAlignment="1" applyProtection="1">
      <alignment horizontal="center" vertical="top" wrapText="1"/>
      <protection locked="0"/>
    </xf>
    <xf numFmtId="49" fontId="10" fillId="4" borderId="13" xfId="0" applyNumberFormat="1" applyFont="1" applyFill="1" applyBorder="1" applyAlignment="1" applyProtection="1">
      <alignment horizontal="center" vertical="top" wrapText="1"/>
      <protection locked="0"/>
    </xf>
    <xf numFmtId="49" fontId="10" fillId="4" borderId="13" xfId="0" applyNumberFormat="1" applyFont="1" applyFill="1" applyBorder="1" applyAlignment="1" applyProtection="1">
      <alignment horizontal="left" vertical="top" wrapText="1"/>
      <protection locked="0"/>
    </xf>
    <xf numFmtId="49" fontId="10" fillId="4" borderId="14" xfId="0" applyNumberFormat="1" applyFont="1" applyFill="1" applyBorder="1" applyAlignment="1" applyProtection="1">
      <alignment horizontal="center" vertical="top" wrapText="1"/>
      <protection locked="0"/>
    </xf>
    <xf numFmtId="0" fontId="4" fillId="4" borderId="29" xfId="0" applyFont="1" applyFill="1" applyBorder="1" applyAlignment="1" applyProtection="1">
      <alignment horizontal="justify" vertical="top" wrapText="1"/>
      <protection locked="0"/>
    </xf>
    <xf numFmtId="49" fontId="3" fillId="4" borderId="21" xfId="0" applyNumberFormat="1" applyFont="1" applyFill="1" applyBorder="1" applyAlignment="1" applyProtection="1">
      <alignment horizontal="center" vertical="top" wrapText="1"/>
      <protection locked="0"/>
    </xf>
    <xf numFmtId="49" fontId="5" fillId="4" borderId="43" xfId="0" applyNumberFormat="1" applyFont="1" applyFill="1" applyBorder="1" applyAlignment="1" applyProtection="1">
      <alignment horizontal="left" vertical="top" wrapText="1"/>
      <protection locked="0"/>
    </xf>
    <xf numFmtId="49" fontId="3" fillId="4" borderId="29" xfId="0" applyNumberFormat="1" applyFont="1" applyFill="1" applyBorder="1" applyAlignment="1" applyProtection="1">
      <alignment horizontal="center" vertical="top" wrapText="1"/>
      <protection locked="0"/>
    </xf>
    <xf numFmtId="49" fontId="3" fillId="4" borderId="21" xfId="0" applyNumberFormat="1" applyFont="1" applyFill="1" applyBorder="1" applyAlignment="1" applyProtection="1">
      <alignment horizontal="left" vertical="top" wrapText="1"/>
      <protection locked="0"/>
    </xf>
    <xf numFmtId="49" fontId="3" fillId="4" borderId="31" xfId="0" applyNumberFormat="1" applyFont="1" applyFill="1" applyBorder="1" applyAlignment="1" applyProtection="1">
      <alignment horizontal="center" vertical="top" wrapText="1"/>
      <protection locked="0"/>
    </xf>
    <xf numFmtId="49" fontId="0" fillId="0" borderId="0" xfId="0" applyNumberFormat="1"/>
    <xf numFmtId="0" fontId="5"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16" fillId="4" borderId="45" xfId="0" applyNumberFormat="1" applyFont="1" applyFill="1" applyBorder="1" applyProtection="1">
      <protection locked="0"/>
    </xf>
    <xf numFmtId="165" fontId="16" fillId="4" borderId="10" xfId="0" applyNumberFormat="1" applyFont="1" applyFill="1" applyBorder="1" applyProtection="1">
      <protection locked="0"/>
    </xf>
    <xf numFmtId="165" fontId="16" fillId="4" borderId="11"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5" fillId="2" borderId="10" xfId="0" applyFont="1" applyFill="1" applyBorder="1" applyAlignment="1" applyProtection="1">
      <alignment horizontal="center" vertical="center" textRotation="90" wrapText="1"/>
      <protection locked="0"/>
    </xf>
    <xf numFmtId="0" fontId="5"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7"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6" fillId="5" borderId="13" xfId="0" applyNumberFormat="1" applyFont="1" applyFill="1" applyBorder="1" applyAlignment="1" applyProtection="1">
      <alignment horizontal="center" vertical="top" wrapText="1"/>
      <protection locked="0"/>
    </xf>
    <xf numFmtId="49" fontId="6"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5" fillId="2" borderId="40" xfId="0" applyFont="1" applyFill="1" applyBorder="1" applyAlignment="1" applyProtection="1">
      <alignment horizontal="center" vertical="center" wrapText="1"/>
      <protection locked="0"/>
    </xf>
    <xf numFmtId="0" fontId="7"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7"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16" fillId="4" borderId="32"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40" fillId="3" borderId="60"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61"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61" xfId="0" applyNumberFormat="1" applyFont="1" applyBorder="1" applyAlignment="1">
      <alignment horizontal="right" shrinkToFit="1"/>
    </xf>
    <xf numFmtId="4"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166" fontId="39" fillId="0" borderId="6" xfId="0" applyNumberFormat="1" applyFont="1" applyBorder="1" applyAlignment="1">
      <alignment horizontal="right" shrinkToFit="1"/>
    </xf>
    <xf numFmtId="4" fontId="41" fillId="2" borderId="61" xfId="0" applyNumberFormat="1" applyFont="1" applyFill="1" applyBorder="1" applyAlignment="1">
      <alignment horizontal="right" shrinkToFit="1"/>
    </xf>
    <xf numFmtId="4" fontId="41" fillId="2" borderId="62" xfId="0" applyNumberFormat="1" applyFont="1" applyFill="1" applyBorder="1" applyAlignment="1">
      <alignment horizontal="right" shrinkToFit="1"/>
    </xf>
    <xf numFmtId="4" fontId="41" fillId="2" borderId="55" xfId="0" applyNumberFormat="1" applyFont="1" applyFill="1" applyBorder="1" applyAlignment="1">
      <alignment horizontal="right" shrinkToFit="1"/>
    </xf>
    <xf numFmtId="166" fontId="41" fillId="2" borderId="6" xfId="0" applyNumberFormat="1" applyFont="1" applyFill="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0" fontId="39" fillId="0" borderId="53"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4" fontId="41" fillId="2" borderId="53" xfId="0" applyNumberFormat="1" applyFont="1" applyFill="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7"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10" fontId="39" fillId="0" borderId="39"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7" fillId="0" borderId="72" xfId="0" applyFont="1" applyBorder="1" applyAlignment="1">
      <alignment horizontal="justify" vertical="top" wrapText="1"/>
    </xf>
    <xf numFmtId="0" fontId="7"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1" fillId="2" borderId="6" xfId="0" applyNumberFormat="1" applyFont="1" applyFill="1" applyBorder="1" applyAlignment="1">
      <alignment horizontal="right" shrinkToFit="1"/>
    </xf>
    <xf numFmtId="49" fontId="39" fillId="0" borderId="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1" fillId="2" borderId="6" xfId="15" applyNumberFormat="1" applyFont="1" applyFill="1" applyBorder="1" applyAlignment="1">
      <alignment horizontal="right" shrinkToFit="1"/>
    </xf>
    <xf numFmtId="166" fontId="39" fillId="0" borderId="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1" fillId="2" borderId="6" xfId="0" applyNumberFormat="1" applyFont="1" applyFill="1" applyBorder="1" applyAlignment="1">
      <alignment horizontal="right" shrinkToFit="1"/>
    </xf>
    <xf numFmtId="1" fontId="39" fillId="0" borderId="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2" fontId="16" fillId="8" borderId="16" xfId="0" applyNumberFormat="1" applyFont="1" applyFill="1" applyBorder="1" applyProtection="1">
      <protection locked="0"/>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0" borderId="5"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0" fontId="16" fillId="0" borderId="0" xfId="0" applyFont="1" applyAlignment="1" applyProtection="1">
      <alignment wrapText="1"/>
      <protection locked="0"/>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0" fontId="16" fillId="0" borderId="16" xfId="0" applyNumberFormat="1" applyFont="1" applyBorder="1" applyAlignment="1" applyProtection="1">
      <alignment wrapText="1"/>
      <protection locked="0"/>
    </xf>
    <xf numFmtId="4" fontId="41" fillId="2" borderId="54" xfId="0" applyNumberFormat="1" applyFont="1" applyFill="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2" fontId="16" fillId="4" borderId="8" xfId="0" applyNumberFormat="1" applyFont="1" applyFill="1" applyBorder="1" applyProtection="1">
      <protection locked="0"/>
    </xf>
    <xf numFmtId="2" fontId="16" fillId="0" borderId="35" xfId="0" applyNumberFormat="1" applyFont="1" applyBorder="1" applyProtection="1">
      <protection locked="0"/>
    </xf>
    <xf numFmtId="3" fontId="24" fillId="4" borderId="4" xfId="14" applyNumberFormat="1" applyFont="1" applyFill="1" applyBorder="1" applyAlignment="1">
      <alignment horizontal="left" vertical="center"/>
    </xf>
    <xf numFmtId="0" fontId="7" fillId="0" borderId="74" xfId="0" applyFont="1" applyBorder="1" applyAlignment="1">
      <alignment horizontal="justify" vertical="top" wrapText="1"/>
    </xf>
    <xf numFmtId="0" fontId="7"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9" fontId="41" fillId="2" borderId="55" xfId="0" applyNumberFormat="1" applyFont="1" applyFill="1" applyBorder="1" applyAlignment="1">
      <alignment horizontal="right" shrinkToFit="1"/>
    </xf>
    <xf numFmtId="9" fontId="41" fillId="2" borderId="54" xfId="0" applyNumberFormat="1" applyFont="1" applyFill="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16" xfId="0" applyNumberFormat="1" applyFont="1" applyBorder="1" applyAlignment="1">
      <alignment horizontal="right"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3" fontId="48" fillId="0" borderId="5" xfId="0" applyNumberFormat="1" applyFont="1" applyBorder="1" applyAlignment="1">
      <alignment horizontal="right" shrinkToFit="1"/>
    </xf>
    <xf numFmtId="3" fontId="48" fillId="0" borderId="1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58" fillId="2" borderId="61" xfId="0" applyNumberFormat="1" applyFont="1" applyFill="1" applyBorder="1" applyAlignment="1">
      <alignment horizontal="right" shrinkToFit="1"/>
    </xf>
    <xf numFmtId="4" fontId="58" fillId="2" borderId="62" xfId="0" applyNumberFormat="1" applyFont="1" applyFill="1" applyBorder="1" applyAlignment="1">
      <alignment horizontal="right" shrinkToFit="1"/>
    </xf>
    <xf numFmtId="4" fontId="58" fillId="2" borderId="57" xfId="0" applyNumberFormat="1" applyFont="1" applyFill="1" applyBorder="1" applyAlignment="1">
      <alignment horizontal="right" shrinkToFit="1"/>
    </xf>
    <xf numFmtId="4" fontId="58" fillId="2" borderId="6" xfId="0" applyNumberFormat="1" applyFont="1" applyFill="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53"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0" fontId="0" fillId="0" borderId="0" xfId="0" applyFill="1"/>
    <xf numFmtId="49" fontId="16" fillId="0" borderId="46" xfId="0" applyNumberFormat="1" applyFont="1" applyBorder="1" applyProtection="1">
      <protection locked="0"/>
    </xf>
    <xf numFmtId="0" fontId="29" fillId="0" borderId="0" xfId="0" applyFont="1"/>
    <xf numFmtId="2" fontId="16" fillId="0" borderId="5" xfId="0" applyNumberFormat="1" applyFont="1" applyBorder="1" applyProtection="1">
      <protection locked="0"/>
    </xf>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49" fontId="39" fillId="0" borderId="35" xfId="0" applyNumberFormat="1" applyFont="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7"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3" fontId="29" fillId="0" borderId="17" xfId="0" applyNumberFormat="1" applyFont="1" applyBorder="1" applyAlignment="1">
      <alignment horizontal="right" shrinkToFit="1"/>
    </xf>
    <xf numFmtId="3" fontId="29" fillId="0" borderId="18" xfId="0" applyNumberFormat="1" applyFont="1" applyBorder="1" applyAlignment="1">
      <alignment horizontal="right" shrinkToFit="1"/>
    </xf>
    <xf numFmtId="166" fontId="29" fillId="0" borderId="56" xfId="0" applyNumberFormat="1" applyFont="1" applyBorder="1" applyAlignment="1">
      <alignment horizontal="right"/>
    </xf>
    <xf numFmtId="49" fontId="29" fillId="0" borderId="35" xfId="0" applyNumberFormat="1" applyFont="1" applyBorder="1" applyAlignment="1">
      <alignment horizontal="justify" vertical="center" wrapText="1"/>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9" fontId="29" fillId="0" borderId="5" xfId="15"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166" fontId="29" fillId="0" borderId="35"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3" fontId="29" fillId="0" borderId="57"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4"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3" fontId="29" fillId="0" borderId="54" xfId="0" applyNumberFormat="1" applyFont="1" applyBorder="1" applyAlignment="1">
      <alignment horizontal="right" shrinkToFit="1"/>
    </xf>
    <xf numFmtId="3" fontId="29" fillId="0" borderId="55" xfId="0" applyNumberFormat="1" applyFont="1" applyBorder="1" applyAlignment="1">
      <alignment horizontal="right" shrinkToFit="1"/>
    </xf>
    <xf numFmtId="166" fontId="29" fillId="0" borderId="56" xfId="0" applyNumberFormat="1" applyFont="1" applyBorder="1" applyAlignment="1">
      <alignment horizontal="right" shrinkToFit="1"/>
    </xf>
    <xf numFmtId="0" fontId="24" fillId="0" borderId="6" xfId="0" applyFont="1" applyBorder="1" applyAlignment="1">
      <alignment horizontal="justify" vertical="top" wrapText="1"/>
    </xf>
    <xf numFmtId="0" fontId="24" fillId="0" borderId="6" xfId="0" applyFont="1" applyFill="1" applyBorder="1" applyAlignment="1">
      <alignment horizontal="justify" vertical="top" wrapText="1"/>
    </xf>
    <xf numFmtId="166" fontId="24" fillId="0" borderId="6" xfId="0" applyNumberFormat="1" applyFont="1" applyFill="1" applyBorder="1" applyAlignment="1">
      <alignment horizontal="right" shrinkToFit="1"/>
    </xf>
    <xf numFmtId="3" fontId="29" fillId="0" borderId="61" xfId="0" applyNumberFormat="1" applyFont="1" applyFill="1" applyBorder="1" applyAlignment="1">
      <alignment horizontal="right" shrinkToFit="1"/>
    </xf>
    <xf numFmtId="4" fontId="24" fillId="2" borderId="53" xfId="0" applyNumberFormat="1" applyFont="1" applyFill="1" applyBorder="1" applyAlignment="1">
      <alignment horizontal="right" shrinkToFit="1"/>
    </xf>
    <xf numFmtId="166" fontId="24" fillId="2" borderId="54" xfId="0" applyNumberFormat="1" applyFont="1" applyFill="1" applyBorder="1" applyAlignment="1">
      <alignment horizontal="right" shrinkToFit="1"/>
    </xf>
    <xf numFmtId="3" fontId="29" fillId="0" borderId="62" xfId="0" applyNumberFormat="1" applyFont="1" applyBorder="1" applyAlignment="1">
      <alignment horizontal="right" shrinkToFit="1"/>
    </xf>
    <xf numFmtId="4" fontId="24" fillId="2" borderId="61" xfId="0" applyNumberFormat="1" applyFont="1" applyFill="1" applyBorder="1" applyAlignment="1">
      <alignment horizontal="right" shrinkToFit="1"/>
    </xf>
    <xf numFmtId="166" fontId="24" fillId="2" borderId="6" xfId="0" applyNumberFormat="1" applyFont="1" applyFill="1" applyBorder="1" applyAlignment="1">
      <alignment horizontal="right" shrinkToFit="1"/>
    </xf>
    <xf numFmtId="166" fontId="24" fillId="2" borderId="6" xfId="15" applyNumberFormat="1" applyFont="1" applyFill="1" applyBorder="1" applyAlignment="1">
      <alignment horizontal="right" shrinkToFit="1"/>
    </xf>
    <xf numFmtId="49" fontId="24" fillId="2" borderId="6" xfId="0" applyNumberFormat="1" applyFont="1" applyFill="1" applyBorder="1" applyAlignment="1">
      <alignment horizontal="right" shrinkToFit="1"/>
    </xf>
    <xf numFmtId="0" fontId="24" fillId="2" borderId="6" xfId="0" applyNumberFormat="1" applyFont="1" applyFill="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166" fontId="29" fillId="0" borderId="6" xfId="15" applyNumberFormat="1" applyFont="1" applyBorder="1" applyAlignment="1">
      <alignment horizontal="right" shrinkToFit="1"/>
    </xf>
    <xf numFmtId="49" fontId="29" fillId="0" borderId="6" xfId="0" applyNumberFormat="1" applyFont="1" applyBorder="1" applyAlignment="1">
      <alignment horizontal="right" shrinkToFit="1"/>
    </xf>
    <xf numFmtId="0"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7"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7" fillId="0" borderId="0" xfId="14" applyFont="1" applyBorder="1" applyAlignment="1">
      <alignment horizontal="left" vertical="center" wrapText="1"/>
    </xf>
    <xf numFmtId="0" fontId="7" fillId="0" borderId="0" xfId="0" applyFont="1"/>
    <xf numFmtId="0" fontId="68" fillId="0" borderId="0" xfId="0" applyFont="1"/>
    <xf numFmtId="0" fontId="29" fillId="0" borderId="57" xfId="0" applyNumberFormat="1" applyFont="1" applyBorder="1" applyAlignment="1">
      <alignment horizontal="right" shrinkToFit="1"/>
    </xf>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 fontId="29" fillId="0" borderId="5" xfId="0" applyNumberFormat="1" applyFont="1" applyBorder="1" applyAlignment="1">
      <alignment horizontal="right" shrinkToFit="1"/>
    </xf>
    <xf numFmtId="166" fontId="29" fillId="0" borderId="5" xfId="0" applyNumberFormat="1" applyFont="1" applyBorder="1" applyAlignment="1">
      <alignment horizontal="right" shrinkToFit="1"/>
    </xf>
    <xf numFmtId="4" fontId="29" fillId="0" borderId="5" xfId="0" applyNumberFormat="1" applyFont="1" applyBorder="1" applyAlignment="1">
      <alignment horizontal="right" shrinkToFit="1"/>
    </xf>
    <xf numFmtId="2" fontId="29" fillId="0" borderId="19" xfId="0" applyNumberFormat="1" applyFont="1" applyBorder="1" applyAlignment="1">
      <alignment horizontal="right" shrinkToFit="1"/>
    </xf>
    <xf numFmtId="4" fontId="24" fillId="2" borderId="5" xfId="0" applyNumberFormat="1" applyFont="1" applyFill="1" applyBorder="1" applyAlignment="1">
      <alignment horizontal="right" shrinkToFit="1"/>
    </xf>
    <xf numFmtId="166" fontId="24" fillId="2" borderId="5" xfId="0" applyNumberFormat="1" applyFont="1" applyFill="1" applyBorder="1" applyAlignment="1">
      <alignment horizontal="right" shrinkToFit="1"/>
    </xf>
    <xf numFmtId="166" fontId="24" fillId="2" borderId="57" xfId="0" applyNumberFormat="1" applyFont="1" applyFill="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24" fillId="2" borderId="6" xfId="0" applyNumberFormat="1" applyFont="1" applyFill="1" applyBorder="1" applyAlignment="1">
      <alignment horizontal="right" shrinkToFit="1"/>
    </xf>
    <xf numFmtId="168" fontId="29" fillId="0" borderId="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0" fontId="24" fillId="0" borderId="61"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5"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39" fillId="0" borderId="35" xfId="15" applyNumberFormat="1" applyFont="1" applyBorder="1" applyAlignment="1">
      <alignment horizontal="right" shrinkToFit="1"/>
    </xf>
    <xf numFmtId="168" fontId="29" fillId="0" borderId="56" xfId="15" applyNumberFormat="1" applyFont="1" applyBorder="1" applyAlignment="1">
      <alignment horizontal="right" shrinkToFit="1"/>
    </xf>
    <xf numFmtId="168" fontId="24" fillId="2" borderId="6" xfId="15" applyNumberFormat="1" applyFont="1" applyFill="1" applyBorder="1" applyAlignment="1">
      <alignment horizontal="right" shrinkToFit="1"/>
    </xf>
    <xf numFmtId="168" fontId="29" fillId="0" borderId="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19" xfId="15" applyNumberFormat="1" applyFont="1" applyBorder="1" applyAlignment="1">
      <alignment horizontal="right" shrinkToFit="1"/>
    </xf>
    <xf numFmtId="168" fontId="39" fillId="0" borderId="54" xfId="0" applyNumberFormat="1" applyFont="1" applyBorder="1" applyAlignment="1">
      <alignment horizontal="right"/>
    </xf>
    <xf numFmtId="168" fontId="24" fillId="2" borderId="5" xfId="0" applyNumberFormat="1" applyFont="1" applyFill="1" applyBorder="1" applyAlignment="1">
      <alignment horizontal="right" shrinkToFit="1"/>
    </xf>
    <xf numFmtId="168" fontId="24" fillId="2" borderId="57" xfId="0" applyNumberFormat="1" applyFont="1" applyFill="1" applyBorder="1" applyAlignment="1">
      <alignment horizontal="right" shrinkToFit="1"/>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0" fontId="7" fillId="14" borderId="6" xfId="0" applyFont="1" applyFill="1" applyBorder="1" applyAlignment="1">
      <alignment horizontal="justify" vertical="top" wrapText="1"/>
    </xf>
    <xf numFmtId="0" fontId="29" fillId="14" borderId="6" xfId="0" applyFont="1" applyFill="1" applyBorder="1" applyAlignment="1">
      <alignment horizontal="justify" vertical="top"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7" fillId="0" borderId="6" xfId="0" applyFont="1" applyFill="1" applyBorder="1" applyAlignment="1">
      <alignment horizontal="justify" vertical="top" wrapText="1"/>
    </xf>
    <xf numFmtId="0" fontId="39" fillId="0" borderId="72"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7"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14" borderId="35" xfId="15"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33" xfId="0" applyNumberFormat="1" applyFont="1" applyBorder="1" applyAlignment="1">
      <alignment horizontal="right" shrinkToFit="1"/>
    </xf>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7"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5" fillId="0" borderId="5" xfId="0" applyNumberFormat="1" applyFont="1" applyFill="1" applyBorder="1" applyAlignment="1" applyProtection="1">
      <alignment horizontal="center" vertical="top" wrapText="1"/>
      <protection locked="0"/>
    </xf>
    <xf numFmtId="49" fontId="7" fillId="0" borderId="17" xfId="0" applyNumberFormat="1" applyFont="1" applyFill="1" applyBorder="1" applyAlignment="1" applyProtection="1">
      <alignment horizontal="left" vertical="top" wrapText="1"/>
      <protection locked="0"/>
    </xf>
    <xf numFmtId="49" fontId="5" fillId="0" borderId="16" xfId="0" applyNumberFormat="1" applyFont="1" applyFill="1" applyBorder="1" applyAlignment="1" applyProtection="1">
      <alignment horizontal="center" vertical="top" wrapText="1"/>
      <protection locked="0"/>
    </xf>
    <xf numFmtId="49" fontId="5" fillId="0" borderId="5" xfId="0" applyNumberFormat="1" applyFont="1" applyFill="1" applyBorder="1" applyAlignment="1" applyProtection="1">
      <alignment horizontal="left" vertical="top" wrapText="1"/>
      <protection locked="0"/>
    </xf>
    <xf numFmtId="49" fontId="3"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0" fontId="69" fillId="0" borderId="0" xfId="0" applyFont="1"/>
    <xf numFmtId="49" fontId="5"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49" fontId="7" fillId="0" borderId="35" xfId="0" applyNumberFormat="1" applyFont="1" applyFill="1" applyBorder="1" applyAlignment="1">
      <alignment horizontal="justify" vertical="center" wrapText="1"/>
    </xf>
    <xf numFmtId="49" fontId="7" fillId="0" borderId="6" xfId="0" applyNumberFormat="1" applyFont="1" applyFill="1" applyBorder="1" applyAlignment="1">
      <alignment horizontal="justify" vertical="center" wrapText="1"/>
    </xf>
    <xf numFmtId="3" fontId="39" fillId="0" borderId="34" xfId="0" applyNumberFormat="1" applyFont="1" applyFill="1" applyBorder="1" applyAlignment="1">
      <alignment horizontal="right" shrinkToFit="1"/>
    </xf>
    <xf numFmtId="3" fontId="39" fillId="0" borderId="57" xfId="0" applyNumberFormat="1" applyFont="1" applyFill="1" applyBorder="1" applyAlignment="1">
      <alignment horizontal="right" shrinkToFit="1"/>
    </xf>
    <xf numFmtId="2" fontId="39" fillId="0" borderId="17" xfId="0" applyNumberFormat="1" applyFont="1" applyFill="1" applyBorder="1" applyAlignment="1">
      <alignment horizontal="right" shrinkToFit="1"/>
    </xf>
    <xf numFmtId="2" fontId="39" fillId="0" borderId="18" xfId="0" applyNumberFormat="1" applyFont="1" applyFill="1" applyBorder="1" applyAlignment="1">
      <alignment horizontal="right" shrinkToFit="1"/>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7"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1" fontId="29" fillId="0" borderId="19" xfId="0" applyNumberFormat="1" applyFont="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68" fontId="39" fillId="14" borderId="35" xfId="15" applyNumberFormat="1" applyFont="1" applyFill="1" applyBorder="1" applyAlignment="1">
      <alignment horizontal="right" wrapText="1" shrinkToFit="1"/>
    </xf>
    <xf numFmtId="1" fontId="39" fillId="0" borderId="35" xfId="15" applyNumberFormat="1" applyFont="1" applyFill="1" applyBorder="1" applyAlignment="1">
      <alignment horizontal="right" wrapText="1" shrinkToFit="1"/>
    </xf>
    <xf numFmtId="166" fontId="24" fillId="0" borderId="6" xfId="0" applyNumberFormat="1" applyFont="1" applyFill="1" applyBorder="1" applyAlignment="1">
      <alignment horizontal="right" wrapText="1" shrinkToFit="1"/>
    </xf>
    <xf numFmtId="3" fontId="29" fillId="0" borderId="61" xfId="0" applyNumberFormat="1" applyFont="1" applyFill="1" applyBorder="1" applyAlignment="1">
      <alignment horizontal="right" wrapText="1" shrinkToFit="1"/>
    </xf>
    <xf numFmtId="4" fontId="24" fillId="2" borderId="53" xfId="0" applyNumberFormat="1" applyFont="1" applyFill="1" applyBorder="1" applyAlignment="1">
      <alignment horizontal="right" wrapText="1" shrinkToFit="1"/>
    </xf>
    <xf numFmtId="166" fontId="24" fillId="2" borderId="54" xfId="0" applyNumberFormat="1" applyFont="1" applyFill="1" applyBorder="1" applyAlignment="1">
      <alignment horizontal="right" wrapText="1" shrinkToFit="1"/>
    </xf>
    <xf numFmtId="3" fontId="29" fillId="0" borderId="56" xfId="0" applyNumberFormat="1" applyFont="1" applyBorder="1" applyAlignment="1">
      <alignment horizontal="right" wrapText="1" shrinkToFit="1"/>
    </xf>
    <xf numFmtId="3" fontId="29" fillId="0" borderId="54" xfId="0" applyNumberFormat="1" applyFont="1" applyBorder="1" applyAlignment="1">
      <alignment horizontal="right" wrapText="1" shrinkToFit="1"/>
    </xf>
    <xf numFmtId="3" fontId="29" fillId="0" borderId="55" xfId="0" applyNumberFormat="1" applyFont="1" applyBorder="1" applyAlignment="1">
      <alignment horizontal="right" wrapText="1" shrinkToFit="1"/>
    </xf>
    <xf numFmtId="3" fontId="29" fillId="0" borderId="16" xfId="0" applyNumberFormat="1" applyFont="1" applyBorder="1" applyAlignment="1">
      <alignment horizontal="right" wrapText="1" shrinkToFit="1"/>
    </xf>
    <xf numFmtId="3" fontId="29" fillId="0" borderId="17" xfId="0" applyNumberFormat="1" applyFont="1" applyBorder="1" applyAlignment="1">
      <alignment horizontal="right" wrapText="1" shrinkToFit="1"/>
    </xf>
    <xf numFmtId="3" fontId="29" fillId="0" borderId="18" xfId="0" applyNumberFormat="1" applyFont="1" applyBorder="1" applyAlignment="1">
      <alignment horizontal="right" wrapText="1" shrinkToFit="1"/>
    </xf>
    <xf numFmtId="3" fontId="29" fillId="0" borderId="62" xfId="0" applyNumberFormat="1" applyFont="1" applyBorder="1" applyAlignment="1">
      <alignment horizontal="right" wrapText="1" shrinkToFit="1"/>
    </xf>
    <xf numFmtId="3" fontId="29" fillId="0" borderId="57" xfId="0" applyNumberFormat="1" applyFont="1" applyBorder="1" applyAlignment="1">
      <alignment horizontal="right" wrapText="1" shrinkToFit="1"/>
    </xf>
    <xf numFmtId="4" fontId="24" fillId="2" borderId="61" xfId="0" applyNumberFormat="1" applyFont="1" applyFill="1" applyBorder="1" applyAlignment="1">
      <alignment horizontal="right" wrapText="1" shrinkToFit="1"/>
    </xf>
    <xf numFmtId="166" fontId="24" fillId="2" borderId="6" xfId="0" applyNumberFormat="1" applyFont="1" applyFill="1" applyBorder="1" applyAlignment="1">
      <alignment horizontal="right" wrapText="1" shrinkToFit="1"/>
    </xf>
    <xf numFmtId="166" fontId="24" fillId="2" borderId="6" xfId="15" applyNumberFormat="1" applyFont="1" applyFill="1" applyBorder="1" applyAlignment="1">
      <alignment horizontal="right" wrapText="1" shrinkToFit="1"/>
    </xf>
    <xf numFmtId="168" fontId="24" fillId="2" borderId="6" xfId="15" applyNumberFormat="1" applyFont="1" applyFill="1" applyBorder="1" applyAlignment="1">
      <alignment horizontal="right" wrapText="1" shrinkToFit="1"/>
    </xf>
    <xf numFmtId="49" fontId="24" fillId="2" borderId="6" xfId="0" applyNumberFormat="1" applyFont="1" applyFill="1" applyBorder="1" applyAlignment="1">
      <alignment horizontal="right" wrapText="1" shrinkToFit="1"/>
    </xf>
    <xf numFmtId="0" fontId="24" fillId="2" borderId="6" xfId="0" applyNumberFormat="1" applyFont="1" applyFill="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3" fontId="39" fillId="0" borderId="34" xfId="0" applyNumberFormat="1" applyFont="1" applyBorder="1" applyAlignment="1">
      <alignment horizontal="right" wrapText="1" shrinkToFit="1"/>
    </xf>
    <xf numFmtId="3" fontId="39" fillId="0" borderId="57" xfId="0" applyNumberFormat="1" applyFont="1" applyBorder="1" applyAlignment="1">
      <alignment horizontal="right" wrapText="1" shrinkToFit="1"/>
    </xf>
    <xf numFmtId="168" fontId="39" fillId="0" borderId="35" xfId="15" applyNumberFormat="1" applyFont="1" applyBorder="1" applyAlignment="1">
      <alignment horizontal="right" wrapText="1" shrinkToFit="1"/>
    </xf>
    <xf numFmtId="49" fontId="39" fillId="0" borderId="35" xfId="0" applyNumberFormat="1" applyFont="1" applyBorder="1" applyAlignment="1">
      <alignment horizontal="right" wrapText="1" shrinkToFit="1"/>
    </xf>
    <xf numFmtId="1" fontId="29" fillId="0" borderId="6" xfId="0" applyNumberFormat="1" applyFont="1" applyBorder="1" applyAlignment="1" applyProtection="1">
      <alignment wrapText="1"/>
      <protection locked="0"/>
    </xf>
    <xf numFmtId="166" fontId="29" fillId="0" borderId="6" xfId="0" applyNumberFormat="1" applyFont="1" applyFill="1" applyBorder="1" applyAlignment="1">
      <alignment horizontal="right" wrapText="1" shrinkToFit="1"/>
    </xf>
    <xf numFmtId="9" fontId="29" fillId="0" borderId="5" xfId="15" applyNumberFormat="1" applyFont="1" applyBorder="1" applyAlignment="1">
      <alignment horizontal="right" wrapText="1" shrinkToFit="1"/>
    </xf>
    <xf numFmtId="4" fontId="29" fillId="0" borderId="53" xfId="0" applyNumberFormat="1" applyFont="1" applyBorder="1" applyAlignment="1">
      <alignment horizontal="right" wrapText="1" shrinkToFit="1"/>
    </xf>
    <xf numFmtId="166" fontId="29" fillId="0" borderId="35" xfId="0" applyNumberFormat="1" applyFont="1" applyBorder="1" applyAlignment="1">
      <alignment horizontal="right" wrapText="1" shrinkToFit="1"/>
    </xf>
    <xf numFmtId="166" fontId="29" fillId="0" borderId="6" xfId="0" applyNumberFormat="1" applyFont="1" applyBorder="1" applyAlignment="1">
      <alignment horizontal="right" wrapText="1" shrinkToFit="1"/>
    </xf>
    <xf numFmtId="166" fontId="29" fillId="0" borderId="6" xfId="15" applyNumberFormat="1" applyFont="1" applyBorder="1" applyAlignment="1">
      <alignment horizontal="right" wrapText="1" shrinkToFit="1"/>
    </xf>
    <xf numFmtId="168" fontId="29" fillId="0" borderId="6" xfId="15" applyNumberFormat="1" applyFont="1" applyBorder="1" applyAlignment="1">
      <alignment horizontal="right" wrapText="1" shrinkToFit="1"/>
    </xf>
    <xf numFmtId="49" fontId="29" fillId="0" borderId="6" xfId="0" applyNumberFormat="1" applyFont="1" applyBorder="1" applyAlignment="1">
      <alignment horizontal="right" wrapText="1" shrinkToFit="1"/>
    </xf>
    <xf numFmtId="0" fontId="29" fillId="0" borderId="6" xfId="0" applyNumberFormat="1" applyFont="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4" fontId="24" fillId="0" borderId="61" xfId="0" applyNumberFormat="1" applyFont="1" applyFill="1" applyBorder="1" applyAlignment="1">
      <alignment horizontal="right" shrinkToFit="1"/>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4" fontId="24" fillId="0" borderId="62" xfId="0" applyNumberFormat="1" applyFont="1" applyFill="1" applyBorder="1" applyAlignment="1">
      <alignment horizontal="right" shrinkToFit="1"/>
    </xf>
    <xf numFmtId="168" fontId="39" fillId="0" borderId="5" xfId="0" applyNumberFormat="1" applyFont="1" applyFill="1" applyBorder="1" applyAlignment="1">
      <alignment horizontal="right" shrinkToFit="1"/>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4" fontId="24" fillId="0" borderId="61" xfId="0" applyNumberFormat="1" applyFont="1" applyFill="1" applyBorder="1" applyAlignment="1">
      <alignment horizontal="right" wrapText="1" shrinkToFit="1"/>
    </xf>
    <xf numFmtId="4" fontId="24" fillId="0" borderId="62" xfId="0" applyNumberFormat="1" applyFont="1" applyFill="1" applyBorder="1" applyAlignment="1">
      <alignment horizontal="right" wrapText="1" shrinkToFit="1"/>
    </xf>
    <xf numFmtId="168" fontId="39" fillId="0" borderId="5" xfId="0" applyNumberFormat="1" applyFont="1" applyFill="1" applyBorder="1" applyAlignment="1">
      <alignment horizontal="right" wrapText="1" shrinkToFi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3" fontId="74" fillId="0" borderId="16" xfId="0" applyNumberFormat="1" applyFont="1" applyFill="1" applyBorder="1" applyAlignment="1">
      <alignment horizontal="right" shrinkToFit="1"/>
    </xf>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3" fontId="24" fillId="16" borderId="42" xfId="6" applyNumberFormat="1" applyFont="1" applyFill="1" applyBorder="1" applyAlignment="1">
      <alignment horizontal="right"/>
    </xf>
    <xf numFmtId="166" fontId="41" fillId="16" borderId="75" xfId="0" applyNumberFormat="1" applyFont="1" applyFill="1" applyBorder="1" applyAlignment="1">
      <alignment horizontal="right" shrinkToFit="1"/>
    </xf>
    <xf numFmtId="166" fontId="41" fillId="16" borderId="59" xfId="0" applyNumberFormat="1" applyFont="1" applyFill="1" applyBorder="1" applyAlignment="1">
      <alignment horizontal="right" shrinkToFit="1"/>
    </xf>
    <xf numFmtId="166" fontId="41" fillId="16" borderId="76" xfId="0" applyNumberFormat="1" applyFont="1" applyFill="1" applyBorder="1" applyAlignment="1">
      <alignment horizontal="right" shrinkToFit="1"/>
    </xf>
    <xf numFmtId="166" fontId="40" fillId="16" borderId="42" xfId="0" applyNumberFormat="1" applyFont="1" applyFill="1" applyBorder="1" applyAlignment="1">
      <alignment horizontal="right" vertical="top" shrinkToFit="1"/>
    </xf>
    <xf numFmtId="166" fontId="41" fillId="16" borderId="77" xfId="0" applyNumberFormat="1" applyFont="1" applyFill="1" applyBorder="1" applyAlignment="1">
      <alignment horizontal="right" shrinkToFit="1"/>
    </xf>
    <xf numFmtId="166" fontId="40" fillId="16" borderId="60" xfId="0" applyNumberFormat="1" applyFont="1" applyFill="1" applyBorder="1" applyAlignment="1">
      <alignment horizontal="right" vertical="top"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1" fontId="40" fillId="18" borderId="60" xfId="6" applyNumberFormat="1" applyFont="1" applyFill="1" applyBorder="1" applyAlignment="1">
      <alignment horizontal="right" shrinkToFit="1"/>
    </xf>
    <xf numFmtId="9" fontId="40" fillId="18" borderId="60" xfId="15"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60"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3" fontId="24" fillId="18" borderId="60" xfId="6" applyNumberFormat="1" applyFont="1" applyFill="1" applyBorder="1" applyAlignment="1">
      <alignment horizontal="right" shrinkToFit="1"/>
    </xf>
    <xf numFmtId="1" fontId="24" fillId="18" borderId="60" xfId="6" applyNumberFormat="1" applyFont="1" applyFill="1" applyBorder="1" applyAlignment="1">
      <alignment horizontal="right" shrinkToFit="1"/>
    </xf>
    <xf numFmtId="1" fontId="24" fillId="18" borderId="100" xfId="15"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168" fontId="24" fillId="18" borderId="42" xfId="15" applyNumberFormat="1" applyFont="1" applyFill="1" applyBorder="1" applyAlignment="1">
      <alignment horizontal="right" shrinkToFit="1"/>
    </xf>
    <xf numFmtId="3" fontId="24" fillId="18" borderId="100" xfId="6" applyNumberFormat="1" applyFont="1" applyFill="1" applyBorder="1" applyAlignment="1">
      <alignment horizontal="right" shrinkToFit="1"/>
    </xf>
    <xf numFmtId="49"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3" fontId="24" fillId="18" borderId="107" xfId="6" applyNumberFormat="1" applyFont="1" applyFill="1" applyBorder="1" applyAlignment="1">
      <alignment horizontal="right" shrinkToFit="1"/>
    </xf>
    <xf numFmtId="3" fontId="24" fillId="18" borderId="67" xfId="6" applyNumberFormat="1" applyFont="1" applyFill="1" applyBorder="1" applyAlignment="1">
      <alignment horizontal="right" shrinkToFit="1"/>
    </xf>
    <xf numFmtId="3" fontId="24" fillId="16" borderId="101" xfId="14" applyNumberFormat="1" applyFont="1" applyFill="1" applyBorder="1" applyAlignment="1">
      <alignment horizontal="right" vertical="center"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9"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9"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3" fontId="24" fillId="18" borderId="106" xfId="6" applyNumberFormat="1" applyFont="1" applyFill="1" applyBorder="1" applyAlignment="1">
      <alignment horizontal="right"/>
    </xf>
    <xf numFmtId="1" fontId="24" fillId="18" borderId="111" xfId="6" applyNumberFormat="1" applyFont="1" applyFill="1" applyBorder="1" applyAlignment="1">
      <alignment horizontal="right" shrinkToFit="1"/>
    </xf>
    <xf numFmtId="1" fontId="24" fillId="18" borderId="112" xfId="15" applyNumberFormat="1" applyFont="1" applyFill="1" applyBorder="1" applyAlignment="1">
      <alignment horizontal="right" shrinkToFit="1"/>
    </xf>
    <xf numFmtId="1" fontId="24" fillId="18" borderId="112" xfId="6" applyNumberFormat="1" applyFont="1" applyFill="1" applyBorder="1" applyAlignment="1">
      <alignment horizontal="right" shrinkToFit="1"/>
    </xf>
    <xf numFmtId="166" fontId="24" fillId="18" borderId="110" xfId="6" applyNumberFormat="1" applyFont="1" applyFill="1" applyBorder="1" applyAlignment="1">
      <alignment horizontal="right" shrinkToFit="1"/>
    </xf>
    <xf numFmtId="3" fontId="24" fillId="18" borderId="110" xfId="6" applyNumberFormat="1" applyFont="1" applyFill="1" applyBorder="1" applyAlignment="1">
      <alignment horizontal="right" shrinkToFit="1"/>
    </xf>
    <xf numFmtId="3" fontId="24" fillId="18" borderId="112" xfId="6" applyNumberFormat="1" applyFont="1" applyFill="1" applyBorder="1" applyAlignment="1">
      <alignment horizontal="right" shrinkToFit="1"/>
    </xf>
    <xf numFmtId="1" fontId="24" fillId="18" borderId="113" xfId="15" applyNumberFormat="1" applyFont="1" applyFill="1" applyBorder="1" applyAlignment="1">
      <alignment horizontal="right" shrinkToFit="1"/>
    </xf>
    <xf numFmtId="9" fontId="24" fillId="18" borderId="114" xfId="6" applyNumberFormat="1" applyFont="1" applyFill="1" applyBorder="1" applyAlignment="1">
      <alignment horizontal="right" shrinkToFit="1"/>
    </xf>
    <xf numFmtId="168" fontId="24" fillId="18" borderId="114" xfId="6" applyNumberFormat="1" applyFont="1" applyFill="1" applyBorder="1" applyAlignment="1">
      <alignment horizontal="right" shrinkToFit="1"/>
    </xf>
    <xf numFmtId="1" fontId="24" fillId="18" borderId="107" xfId="6" applyNumberFormat="1" applyFont="1" applyFill="1" applyBorder="1" applyAlignment="1">
      <alignment horizontal="right" shrinkToFit="1"/>
    </xf>
    <xf numFmtId="3" fontId="24" fillId="18" borderId="111" xfId="6" applyNumberFormat="1" applyFont="1" applyFill="1" applyBorder="1" applyAlignment="1">
      <alignment horizontal="right" shrinkToFit="1"/>
    </xf>
    <xf numFmtId="3" fontId="24" fillId="18" borderId="114" xfId="6" applyNumberFormat="1" applyFont="1" applyFill="1" applyBorder="1" applyAlignment="1">
      <alignment horizontal="right" shrinkToFit="1"/>
    </xf>
    <xf numFmtId="3" fontId="24" fillId="18" borderId="115" xfId="6" applyNumberFormat="1" applyFont="1" applyFill="1" applyBorder="1" applyAlignment="1">
      <alignment horizontal="right" shrinkToFit="1"/>
    </xf>
    <xf numFmtId="168" fontId="24" fillId="18" borderId="76"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60"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3" fontId="24" fillId="18" borderId="60" xfId="6" applyNumberFormat="1" applyFont="1" applyFill="1" applyBorder="1" applyAlignment="1">
      <alignment horizontal="right" wrapText="1" shrinkToFit="1"/>
    </xf>
    <xf numFmtId="3" fontId="40" fillId="18" borderId="60" xfId="6" applyNumberFormat="1" applyFont="1" applyFill="1" applyBorder="1" applyAlignment="1">
      <alignment horizontal="right" wrapText="1" shrinkToFit="1"/>
    </xf>
    <xf numFmtId="1" fontId="24" fillId="18" borderId="60" xfId="6" applyNumberFormat="1" applyFont="1" applyFill="1" applyBorder="1" applyAlignment="1">
      <alignment horizontal="right" wrapText="1" shrinkToFit="1"/>
    </xf>
    <xf numFmtId="3" fontId="24" fillId="18" borderId="77" xfId="6" applyNumberFormat="1" applyFont="1" applyFill="1" applyBorder="1" applyAlignment="1">
      <alignment horizontal="right" wrapText="1" shrinkToFit="1"/>
    </xf>
    <xf numFmtId="3" fontId="24" fillId="18" borderId="76" xfId="6" applyNumberFormat="1" applyFont="1" applyFill="1" applyBorder="1" applyAlignment="1">
      <alignment horizontal="right" wrapText="1" shrinkToFit="1"/>
    </xf>
    <xf numFmtId="168" fontId="24" fillId="18" borderId="42" xfId="15"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8" borderId="100" xfId="6" applyNumberFormat="1" applyFont="1" applyFill="1" applyBorder="1" applyAlignment="1">
      <alignment horizontal="right" wrapText="1" shrinkToFit="1"/>
    </xf>
    <xf numFmtId="49"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 fontId="24" fillId="18" borderId="100" xfId="15"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20" borderId="16" xfId="0" applyNumberFormat="1" applyFont="1" applyFill="1" applyBorder="1" applyAlignment="1" applyProtection="1">
      <alignment wrapText="1"/>
      <protection locked="0"/>
    </xf>
    <xf numFmtId="0" fontId="16" fillId="19" borderId="38" xfId="0" applyNumberFormat="1" applyFont="1" applyFill="1" applyBorder="1" applyProtection="1">
      <protection locked="0"/>
    </xf>
    <xf numFmtId="2" fontId="16" fillId="21" borderId="1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1" fillId="2" borderId="6" xfId="15" applyFont="1" applyFill="1" applyBorder="1" applyAlignment="1">
      <alignment horizontal="right" shrinkToFit="1"/>
    </xf>
    <xf numFmtId="9" fontId="39" fillId="0" borderId="6" xfId="15" applyFont="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0" borderId="16" xfId="0" applyNumberFormat="1" applyFont="1" applyFill="1" applyBorder="1" applyAlignment="1" applyProtection="1">
      <alignment wrapText="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21" borderId="35" xfId="0" applyNumberFormat="1" applyFont="1" applyFill="1" applyBorder="1" applyAlignment="1" applyProtection="1">
      <alignment wrapText="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0" borderId="16" xfId="0" applyFont="1" applyBorder="1" applyProtection="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0" fontId="16" fillId="0" borderId="16" xfId="0" applyFont="1" applyBorder="1" applyAlignment="1" applyProtection="1">
      <alignment wrapText="1"/>
      <protection locked="0"/>
    </xf>
    <xf numFmtId="9" fontId="39" fillId="0" borderId="35" xfId="15" applyFont="1" applyFill="1" applyBorder="1" applyAlignment="1">
      <alignment horizontal="right" shrinkToFit="1"/>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1" fillId="2" borderId="6" xfId="0" applyNumberFormat="1" applyFont="1" applyFill="1" applyBorder="1" applyAlignment="1">
      <alignment horizontal="right" shrinkToFit="1"/>
    </xf>
    <xf numFmtId="9" fontId="39" fillId="0" borderId="6" xfId="0" applyNumberFormat="1" applyFont="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24" fillId="18" borderId="60"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9" xfId="0" applyNumberFormat="1" applyFont="1" applyBorder="1" applyAlignment="1">
      <alignment horizontal="right" wrapText="1" shrinkToFit="1"/>
    </xf>
    <xf numFmtId="9" fontId="39" fillId="0" borderId="109"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24" fillId="18" borderId="60"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6" fillId="0" borderId="0" xfId="0" applyFont="1" applyAlignment="1">
      <alignment horizontal="center" vertical="center"/>
    </xf>
    <xf numFmtId="0" fontId="76" fillId="0" borderId="0" xfId="0" applyFont="1" applyBorder="1" applyAlignment="1">
      <alignment horizontal="center" vertical="center"/>
    </xf>
    <xf numFmtId="0" fontId="76"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166" fontId="41" fillId="2" borderId="35" xfId="0" applyNumberFormat="1" applyFont="1" applyFill="1" applyBorder="1" applyAlignment="1">
      <alignment horizontal="right" shrinkToFit="1"/>
    </xf>
    <xf numFmtId="166" fontId="41" fillId="2" borderId="51" xfId="0" applyNumberFormat="1" applyFont="1" applyFill="1" applyBorder="1" applyAlignment="1">
      <alignment horizontal="right" shrinkToFit="1"/>
    </xf>
    <xf numFmtId="2" fontId="41" fillId="2" borderId="72" xfId="15" applyNumberFormat="1" applyFont="1" applyFill="1" applyBorder="1" applyAlignment="1">
      <alignment horizontal="right" shrinkToFit="1"/>
    </xf>
    <xf numFmtId="2" fontId="41" fillId="2" borderId="51" xfId="0" applyNumberFormat="1" applyFont="1" applyFill="1" applyBorder="1" applyAlignment="1">
      <alignment horizontal="right" shrinkToFit="1"/>
    </xf>
    <xf numFmtId="4" fontId="41" fillId="2" borderId="72" xfId="0" applyNumberFormat="1" applyFont="1" applyFill="1" applyBorder="1" applyAlignment="1">
      <alignment horizontal="right" shrinkToFit="1"/>
    </xf>
    <xf numFmtId="4" fontId="41" fillId="2" borderId="74" xfId="0" applyNumberFormat="1" applyFont="1" applyFill="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7" fillId="0" borderId="65" xfId="0" applyFont="1" applyBorder="1"/>
    <xf numFmtId="49" fontId="77" fillId="0" borderId="65" xfId="0" applyNumberFormat="1" applyFont="1" applyBorder="1"/>
    <xf numFmtId="0" fontId="77"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36"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0" fontId="21" fillId="20" borderId="16" xfId="0" applyFont="1" applyFill="1" applyBorder="1" applyAlignment="1" applyProtection="1">
      <alignment wrapText="1"/>
      <protection locked="0"/>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8" xfId="6" applyNumberFormat="1" applyFont="1" applyFill="1" applyBorder="1" applyAlignment="1">
      <alignment horizontal="right"/>
    </xf>
    <xf numFmtId="9" fontId="52" fillId="2" borderId="5" xfId="15" applyFont="1" applyFill="1" applyBorder="1" applyAlignment="1">
      <alignment horizontal="center" wrapText="1"/>
    </xf>
    <xf numFmtId="0" fontId="80"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0" fontId="24" fillId="2" borderId="61" xfId="0" applyNumberFormat="1" applyFont="1" applyFill="1" applyBorder="1" applyAlignment="1">
      <alignment horizontal="right" shrinkToFit="1"/>
    </xf>
    <xf numFmtId="1" fontId="24" fillId="18" borderId="106" xfId="6" applyNumberFormat="1" applyFont="1" applyFill="1" applyBorder="1" applyAlignment="1">
      <alignment horizontal="right" shrinkToFit="1"/>
    </xf>
    <xf numFmtId="0" fontId="29" fillId="0" borderId="61"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7" fillId="0" borderId="0" xfId="0" applyNumberFormat="1" applyFont="1" applyAlignment="1">
      <alignment horizontal="left" wrapText="1"/>
    </xf>
    <xf numFmtId="49" fontId="7"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24" fillId="18" borderId="60" xfId="6" applyNumberFormat="1" applyFont="1" applyFill="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1" xfId="6" applyNumberFormat="1" applyFont="1" applyFill="1" applyBorder="1" applyAlignment="1">
      <alignment horizontal="right" shrinkToFit="1"/>
    </xf>
    <xf numFmtId="9" fontId="29" fillId="0" borderId="5" xfId="0" applyNumberFormat="1" applyFont="1" applyBorder="1" applyAlignment="1">
      <alignment horizontal="right" shrinkToFit="1"/>
    </xf>
    <xf numFmtId="9" fontId="24" fillId="18" borderId="112" xfId="6" applyNumberFormat="1" applyFont="1" applyFill="1" applyBorder="1" applyAlignment="1">
      <alignment horizontal="right" shrinkToFit="1"/>
    </xf>
    <xf numFmtId="9" fontId="29" fillId="0" borderId="62" xfId="0" applyNumberFormat="1" applyFont="1" applyBorder="1" applyAlignment="1">
      <alignment horizontal="right" shrinkToFit="1"/>
    </xf>
    <xf numFmtId="9" fontId="24" fillId="18" borderId="75"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24" fillId="18" borderId="60" xfId="6"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81"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1" fontId="41" fillId="2" borderId="74" xfId="0" applyNumberFormat="1" applyFont="1" applyFill="1" applyBorder="1" applyAlignment="1">
      <alignment horizontal="right" shrinkToFit="1"/>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2" borderId="74" xfId="0" applyNumberFormat="1" applyFont="1" applyFill="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5" fillId="0" borderId="18" xfId="0" applyNumberFormat="1" applyFont="1" applyBorder="1" applyAlignment="1" applyProtection="1">
      <alignment horizontal="right"/>
    </xf>
    <xf numFmtId="0" fontId="15" fillId="13" borderId="85" xfId="0" applyFont="1" applyFill="1" applyBorder="1" applyAlignment="1">
      <alignment horizontal="justify" vertical="top" wrapText="1"/>
    </xf>
    <xf numFmtId="0" fontId="24" fillId="16" borderId="36" xfId="21" applyFont="1" applyFill="1" applyBorder="1" applyAlignment="1">
      <alignment vertical="center" wrapText="1"/>
    </xf>
    <xf numFmtId="0" fontId="24" fillId="16" borderId="12" xfId="21" applyFont="1" applyFill="1" applyBorder="1" applyAlignment="1">
      <alignment vertical="center" wrapTex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6"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8"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20"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20"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21"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7"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5" fillId="8" borderId="7" xfId="0" applyFont="1" applyFill="1" applyBorder="1" applyAlignment="1" applyProtection="1">
      <alignment horizontal="center" vertical="center" textRotation="180" wrapText="1"/>
      <protection locked="0"/>
    </xf>
    <xf numFmtId="0" fontId="5" fillId="8" borderId="69" xfId="0" applyFont="1" applyFill="1" applyBorder="1" applyAlignment="1" applyProtection="1">
      <alignment horizontal="center" vertical="center" textRotation="180" wrapText="1"/>
      <protection locked="0"/>
    </xf>
    <xf numFmtId="0" fontId="5" fillId="8" borderId="44" xfId="0" applyFont="1" applyFill="1" applyBorder="1" applyAlignment="1" applyProtection="1">
      <alignment horizontal="center" vertical="center" wrapText="1"/>
      <protection locked="0"/>
    </xf>
    <xf numFmtId="0" fontId="5" fillId="8" borderId="50" xfId="0" applyFont="1" applyFill="1" applyBorder="1" applyAlignment="1" applyProtection="1">
      <alignment horizontal="center" vertical="center" wrapText="1"/>
      <protection locked="0"/>
    </xf>
    <xf numFmtId="0" fontId="26" fillId="16" borderId="116"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10" borderId="119"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6"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20"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9"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4" fillId="11" borderId="93" xfId="0" applyFont="1" applyFill="1" applyBorder="1" applyAlignment="1">
      <alignment horizontal="center" vertical="center" wrapText="1"/>
    </xf>
    <xf numFmtId="0" fontId="4" fillId="11" borderId="84" xfId="0" applyFont="1" applyFill="1" applyBorder="1" applyAlignment="1">
      <alignment horizontal="center" vertical="center" wrapText="1"/>
    </xf>
    <xf numFmtId="0" fontId="4"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26" fillId="25" borderId="120"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9"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6" fillId="16" borderId="122"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9"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22"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120"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21"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21" xfId="0" applyFont="1" applyFill="1" applyBorder="1" applyAlignment="1">
      <alignment horizontal="center" vertical="center" wrapText="1"/>
    </xf>
    <xf numFmtId="0" fontId="16" fillId="0" borderId="0" xfId="0" applyFont="1" applyAlignment="1"/>
    <xf numFmtId="0" fontId="16" fillId="0" borderId="0" xfId="0" applyFont="1" applyBorder="1" applyAlignment="1">
      <alignment horizontal="left"/>
    </xf>
    <xf numFmtId="0" fontId="16" fillId="0" borderId="62" xfId="0" applyFont="1" applyBorder="1" applyAlignment="1"/>
    <xf numFmtId="0" fontId="16" fillId="0" borderId="0" xfId="0" applyFont="1" applyAlignment="1">
      <alignment horizontal="left"/>
    </xf>
    <xf numFmtId="0" fontId="16" fillId="0" borderId="62" xfId="0" applyFont="1" applyBorder="1" applyAlignment="1">
      <alignment horizontal="left"/>
    </xf>
    <xf numFmtId="0" fontId="15" fillId="10" borderId="74" xfId="0" applyFont="1" applyFill="1" applyBorder="1" applyAlignment="1">
      <alignment horizontal="center"/>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83" fillId="0" borderId="25" xfId="0" applyFont="1" applyFill="1" applyBorder="1" applyAlignment="1">
      <alignment horizontal="center" vertical="center"/>
    </xf>
    <xf numFmtId="0" fontId="83" fillId="0" borderId="26" xfId="0" applyFont="1" applyFill="1" applyBorder="1" applyAlignment="1">
      <alignment horizontal="center" vertical="center"/>
    </xf>
    <xf numFmtId="0" fontId="83" fillId="0" borderId="1" xfId="0" applyFont="1" applyFill="1" applyBorder="1" applyAlignment="1">
      <alignment horizontal="center" vertical="center"/>
    </xf>
    <xf numFmtId="0" fontId="83" fillId="0" borderId="28" xfId="0" applyFont="1" applyFill="1" applyBorder="1" applyAlignment="1">
      <alignment horizontal="center" vertical="center"/>
    </xf>
    <xf numFmtId="0" fontId="83" fillId="0" borderId="3" xfId="0" applyFont="1" applyFill="1" applyBorder="1" applyAlignment="1">
      <alignment horizontal="center" vertical="center"/>
    </xf>
    <xf numFmtId="0" fontId="83" fillId="0" borderId="4" xfId="0" applyFont="1" applyFill="1" applyBorder="1" applyAlignment="1">
      <alignment horizontal="center" vertical="center"/>
    </xf>
    <xf numFmtId="0" fontId="77" fillId="10" borderId="22" xfId="0" applyFont="1" applyFill="1" applyBorder="1" applyAlignment="1">
      <alignment horizontal="center"/>
    </xf>
    <xf numFmtId="0" fontId="77" fillId="10" borderId="23" xfId="0" applyFont="1" applyFill="1" applyBorder="1" applyAlignment="1">
      <alignment horizontal="center"/>
    </xf>
    <xf numFmtId="0" fontId="77"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83" fillId="0" borderId="25" xfId="0" applyFont="1" applyBorder="1" applyAlignment="1">
      <alignment horizontal="center" vertical="center"/>
    </xf>
    <xf numFmtId="0" fontId="83" fillId="0" borderId="26" xfId="0" applyFont="1" applyBorder="1" applyAlignment="1">
      <alignment horizontal="center" vertical="center"/>
    </xf>
    <xf numFmtId="0" fontId="83" fillId="0" borderId="1" xfId="0" applyFont="1" applyBorder="1" applyAlignment="1">
      <alignment horizontal="center" vertical="center"/>
    </xf>
    <xf numFmtId="0" fontId="83" fillId="0" borderId="28" xfId="0" applyFont="1" applyBorder="1" applyAlignment="1">
      <alignment horizontal="center" vertical="center"/>
    </xf>
    <xf numFmtId="0" fontId="83" fillId="0" borderId="3" xfId="0" applyFont="1" applyBorder="1" applyAlignment="1">
      <alignment horizontal="center" vertical="center"/>
    </xf>
    <xf numFmtId="0" fontId="83" fillId="0" borderId="4" xfId="0" applyFont="1" applyBorder="1" applyAlignment="1">
      <alignment horizontal="center" vertical="center"/>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6"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119"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168" fontId="26" fillId="27" borderId="116"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4" borderId="116" xfId="0" applyFont="1" applyFill="1" applyBorder="1" applyAlignment="1">
      <alignment horizontal="center" vertical="center" wrapText="1"/>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0" fontId="35"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5" fillId="2" borderId="68"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15"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5" fillId="2" borderId="68" xfId="0" applyFont="1" applyFill="1" applyBorder="1" applyAlignment="1" applyProtection="1">
      <alignment horizontal="center" vertical="center" textRotation="180" wrapText="1"/>
      <protection locked="0"/>
    </xf>
    <xf numFmtId="0" fontId="5" fillId="2" borderId="7" xfId="0" applyFont="1" applyFill="1" applyBorder="1" applyAlignment="1" applyProtection="1">
      <alignment horizontal="center" vertical="center" textRotation="180" wrapText="1"/>
      <protection locked="0"/>
    </xf>
    <xf numFmtId="0" fontId="5"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4" fillId="2" borderId="68" xfId="0" applyFont="1" applyFill="1" applyBorder="1" applyAlignment="1" applyProtection="1">
      <alignment horizontal="center" vertical="center" textRotation="90" wrapText="1"/>
      <protection locked="0"/>
    </xf>
    <xf numFmtId="0" fontId="4" fillId="2" borderId="7" xfId="0" applyFont="1" applyFill="1" applyBorder="1" applyAlignment="1" applyProtection="1">
      <alignment horizontal="center" vertical="center" textRotation="90" wrapText="1"/>
      <protection locked="0"/>
    </xf>
    <xf numFmtId="0" fontId="4"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5" fillId="2" borderId="44" xfId="0"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93" xfId="0" applyFont="1" applyFill="1" applyBorder="1" applyAlignment="1" applyProtection="1">
      <alignment horizontal="center" vertical="center" wrapText="1"/>
      <protection locked="0"/>
    </xf>
    <xf numFmtId="0" fontId="5" fillId="2" borderId="116" xfId="0" applyFont="1" applyFill="1" applyBorder="1" applyAlignment="1" applyProtection="1">
      <alignment horizontal="center" vertical="center" wrapText="1"/>
      <protection locked="0"/>
    </xf>
    <xf numFmtId="0" fontId="5" fillId="2" borderId="94"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119" xfId="0" applyFont="1" applyFill="1" applyBorder="1" applyAlignment="1" applyProtection="1">
      <alignment horizontal="center" vertical="center" wrapText="1"/>
      <protection locked="0"/>
    </xf>
    <xf numFmtId="0" fontId="5" fillId="5" borderId="68" xfId="0" applyFont="1" applyFill="1" applyBorder="1" applyAlignment="1" applyProtection="1">
      <alignment horizontal="center" vertical="center" textRotation="180" wrapText="1"/>
      <protection locked="0"/>
    </xf>
    <xf numFmtId="0" fontId="5" fillId="5" borderId="7" xfId="0" applyFont="1" applyFill="1" applyBorder="1" applyAlignment="1" applyProtection="1">
      <alignment horizontal="center" vertical="center" textRotation="180" wrapText="1"/>
      <protection locked="0"/>
    </xf>
    <xf numFmtId="0" fontId="5"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4" fillId="16" borderId="116"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66" fontId="24" fillId="17" borderId="116"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6"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20"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0" fontId="24" fillId="16" borderId="119"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168" fontId="24" fillId="16" borderId="116"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6"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80" fillId="2" borderId="68" xfId="0" applyFont="1" applyFill="1" applyBorder="1" applyAlignment="1">
      <alignment horizontal="center" vertical="center"/>
    </xf>
    <xf numFmtId="0" fontId="80"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4" fillId="0" borderId="68" xfId="15" applyFont="1" applyFill="1" applyBorder="1" applyAlignment="1">
      <alignment horizontal="center" vertical="center" wrapText="1"/>
    </xf>
    <xf numFmtId="9" fontId="84" fillId="0" borderId="69" xfId="15" applyFont="1" applyFill="1" applyBorder="1" applyAlignment="1">
      <alignment horizontal="center" vertical="center"/>
    </xf>
    <xf numFmtId="0" fontId="84" fillId="0" borderId="22" xfId="0" applyFont="1" applyFill="1" applyBorder="1" applyAlignment="1">
      <alignment horizontal="center" vertical="center"/>
    </xf>
    <xf numFmtId="0" fontId="84" fillId="0" borderId="23" xfId="0" applyFont="1" applyFill="1" applyBorder="1" applyAlignment="1">
      <alignment horizontal="center" vertical="center"/>
    </xf>
    <xf numFmtId="0" fontId="84" fillId="0" borderId="24" xfId="0" applyFont="1" applyFill="1" applyBorder="1" applyAlignment="1">
      <alignment horizontal="center" vertical="center"/>
    </xf>
    <xf numFmtId="0" fontId="84" fillId="0" borderId="68" xfId="0" applyFont="1" applyFill="1" applyBorder="1" applyAlignment="1">
      <alignment horizontal="center" vertical="center"/>
    </xf>
    <xf numFmtId="0" fontId="84" fillId="0" borderId="69" xfId="0" applyFont="1" applyFill="1" applyBorder="1" applyAlignment="1">
      <alignment horizontal="center" vertical="center"/>
    </xf>
    <xf numFmtId="0" fontId="84"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6"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cellXfs>
  <cellStyles count="28">
    <cellStyle name="Euro" xfId="1"/>
    <cellStyle name="Euro 2" xfId="2"/>
    <cellStyle name="Euro 3" xfId="3"/>
    <cellStyle name="Euro 3 2" xfId="4"/>
    <cellStyle name="Euro 4" xfId="5"/>
    <cellStyle name="Euro 4 2" xfId="22"/>
    <cellStyle name="Millares [0]" xfId="6" builtinId="6"/>
    <cellStyle name="Millares [0] 2" xfId="7"/>
    <cellStyle name="Millares [0] 3" xfId="8"/>
    <cellStyle name="Millares [0] 3 2" xfId="9"/>
    <cellStyle name="Millares [0] 4" xfId="10"/>
    <cellStyle name="Millares [0] 4 2" xfId="24"/>
    <cellStyle name="Millares [0] 5" xfId="23"/>
    <cellStyle name="Normal" xfId="0" builtinId="0"/>
    <cellStyle name="Normal 2" xfId="11"/>
    <cellStyle name="Normal 2 2" xfId="12"/>
    <cellStyle name="Normal 3" xfId="13"/>
    <cellStyle name="Normal 3 2" xfId="25"/>
    <cellStyle name="Normal 4" xfId="21"/>
    <cellStyle name="Normal 5" xfId="20"/>
    <cellStyle name="Normal_cvalencia%nal-98" xfId="14"/>
    <cellStyle name="Porcentaje" xfId="15" builtinId="5"/>
    <cellStyle name="Porcentaje 2" xfId="16"/>
    <cellStyle name="Porcentaje 3" xfId="17"/>
    <cellStyle name="Porcentaje 3 2" xfId="18"/>
    <cellStyle name="Porcentaje 4" xfId="19"/>
    <cellStyle name="Porcentaje 4 2" xfId="27"/>
    <cellStyle name="Porcentaje 5" xfId="26"/>
  </cellStyles>
  <dxfs count="2979">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name val="Cambria"/>
        <scheme val="none"/>
      </font>
      <fill>
        <patternFill patternType="none">
          <bgColor indexed="65"/>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FFC0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293</v>
      </c>
    </row>
    <row r="3" spans="1:19" ht="23.25" thickBot="1">
      <c r="A3" s="1543" t="s">
        <v>146</v>
      </c>
      <c r="B3" s="1544"/>
      <c r="C3" s="1544"/>
      <c r="D3" s="1545"/>
      <c r="E3" s="413"/>
      <c r="F3" s="2"/>
      <c r="Q3" s="392">
        <v>1</v>
      </c>
      <c r="R3" s="392">
        <v>3</v>
      </c>
      <c r="S3" t="b">
        <f>AND(Q3&gt;=TrimIni,Q3&lt;=TrimFin)</f>
        <v>1</v>
      </c>
    </row>
    <row r="4" spans="1:19" ht="22.5" customHeight="1" thickBot="1">
      <c r="A4" s="414" t="s">
        <v>1161</v>
      </c>
      <c r="B4" s="413"/>
      <c r="C4" s="413"/>
      <c r="D4" s="413"/>
      <c r="E4" s="413"/>
      <c r="F4" s="2"/>
      <c r="Q4" s="392">
        <v>2</v>
      </c>
      <c r="R4" s="392">
        <v>3</v>
      </c>
      <c r="S4" t="b">
        <f>AND(Q4&gt;=TrimIni,Q4&lt;=TrimFin)</f>
        <v>1</v>
      </c>
    </row>
    <row r="5" spans="1:19" ht="15.75" thickBot="1">
      <c r="A5" s="415" t="s">
        <v>55</v>
      </c>
      <c r="B5" s="416">
        <v>2021</v>
      </c>
      <c r="C5" s="417" t="s">
        <v>280</v>
      </c>
      <c r="D5" s="418">
        <v>1</v>
      </c>
      <c r="E5" s="419"/>
      <c r="F5" s="3"/>
      <c r="H5" t="s">
        <v>549</v>
      </c>
      <c r="Q5" s="392">
        <v>3</v>
      </c>
      <c r="R5" s="392">
        <v>2</v>
      </c>
      <c r="S5" t="b">
        <f>AND(Q5&gt;=TrimIni,Q5&lt;=TrimFin)</f>
        <v>1</v>
      </c>
    </row>
    <row r="6" spans="1:19" ht="15">
      <c r="A6" s="420"/>
      <c r="B6" s="419"/>
      <c r="C6" s="417" t="s">
        <v>281</v>
      </c>
      <c r="D6" s="418">
        <v>4</v>
      </c>
      <c r="E6" s="419"/>
      <c r="F6" s="3"/>
      <c r="Q6" s="392">
        <v>4</v>
      </c>
      <c r="R6" s="392">
        <v>3</v>
      </c>
      <c r="S6" t="b">
        <f>AND(Q6&gt;=TrimIni,Q6&lt;=TrimFin)</f>
        <v>1</v>
      </c>
    </row>
    <row r="7" spans="1:19" ht="13.5" thickBot="1">
      <c r="A7" s="421"/>
      <c r="B7" s="422"/>
      <c r="C7" s="419"/>
      <c r="D7" s="419"/>
      <c r="E7" s="419"/>
      <c r="F7" s="3"/>
      <c r="Q7" s="392"/>
      <c r="R7" s="392"/>
    </row>
    <row r="8" spans="1:19" ht="22.5">
      <c r="A8" s="539"/>
      <c r="B8" s="423"/>
      <c r="C8" s="424"/>
      <c r="D8" s="425"/>
      <c r="E8" s="426"/>
      <c r="F8" s="3"/>
      <c r="Q8" s="392"/>
      <c r="R8" s="393">
        <f>11/SUMIF(S3:S6,TRUE,R3:R6)</f>
        <v>1</v>
      </c>
    </row>
    <row r="9" spans="1:19">
      <c r="A9" s="427" t="s">
        <v>1162</v>
      </c>
      <c r="B9" s="422" t="s">
        <v>1163</v>
      </c>
      <c r="C9" s="419"/>
      <c r="D9" s="419"/>
      <c r="E9" s="428"/>
      <c r="F9" s="3"/>
    </row>
    <row r="10" spans="1:19">
      <c r="A10" s="427" t="s">
        <v>1164</v>
      </c>
      <c r="B10" s="419" t="s">
        <v>1165</v>
      </c>
      <c r="C10" s="419"/>
      <c r="D10" s="419"/>
      <c r="E10" s="428"/>
      <c r="F10" s="3"/>
      <c r="Q10" s="392">
        <v>0</v>
      </c>
    </row>
    <row r="11" spans="1:19" ht="13.5" thickBot="1">
      <c r="A11" s="429" t="s">
        <v>1166</v>
      </c>
      <c r="B11" s="430" t="s">
        <v>1165</v>
      </c>
      <c r="C11" s="430"/>
      <c r="D11" s="430"/>
      <c r="E11" s="431"/>
      <c r="F11" s="3"/>
    </row>
    <row r="12" spans="1:19" ht="40.5" customHeight="1" thickBot="1">
      <c r="A12" s="421"/>
      <c r="B12" s="419"/>
      <c r="C12" s="419"/>
      <c r="D12" s="419"/>
      <c r="E12" s="419"/>
      <c r="F12" s="3"/>
      <c r="Q12" s="1474"/>
    </row>
    <row r="13" spans="1:19" ht="15">
      <c r="A13" s="432" t="s">
        <v>171</v>
      </c>
      <c r="B13" s="433" t="s">
        <v>87</v>
      </c>
      <c r="C13" s="1082" t="s">
        <v>946</v>
      </c>
      <c r="D13" s="419" t="s">
        <v>87</v>
      </c>
      <c r="E13" s="419"/>
      <c r="F13" s="3"/>
    </row>
    <row r="14" spans="1:19" ht="15">
      <c r="A14" s="434" t="s">
        <v>124</v>
      </c>
      <c r="B14" s="435" t="s">
        <v>175</v>
      </c>
      <c r="C14" s="419"/>
      <c r="D14" s="419"/>
      <c r="E14" s="419"/>
      <c r="F14" s="3"/>
    </row>
    <row r="15" spans="1:19" ht="13.5" thickBot="1">
      <c r="A15" s="285"/>
      <c r="B15" s="4"/>
      <c r="C15" s="4"/>
      <c r="D15" s="4"/>
      <c r="E15" s="4"/>
      <c r="F15" s="5"/>
    </row>
    <row r="16" spans="1:19" ht="23.25">
      <c r="A16" s="71"/>
    </row>
  </sheetData>
  <sheetProtection algorithmName="SHA-512" hashValue="1jOUMjCtCo4xwnFot5fw1xfM3l0TjqvcbZBc9nNMVI3I9QH262qciMflcVuA7ePfELBwj2QyS81C76mqNKSzwA==" saltValue="nFCeKDUzjoKFPIacratP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51"/>
  <sheetViews>
    <sheetView zoomScale="82" zoomScaleNormal="82" workbookViewId="0">
      <selection activeCell="B9" sqref="B9"/>
    </sheetView>
  </sheetViews>
  <sheetFormatPr baseColWidth="10" defaultColWidth="11.42578125" defaultRowHeight="12.75"/>
  <cols>
    <col min="1" max="1" width="9.42578125" style="1384" customWidth="1"/>
    <col min="2" max="2" width="41.42578125" style="537" customWidth="1"/>
    <col min="3" max="3" width="18.85546875" style="1383" hidden="1" customWidth="1"/>
    <col min="4" max="4" width="13.5703125" style="1383" hidden="1" customWidth="1"/>
    <col min="5" max="5" width="13.42578125" style="1383" hidden="1" customWidth="1"/>
    <col min="6" max="7" width="12" style="1383" hidden="1" customWidth="1"/>
    <col min="8" max="8" width="12.5703125" style="1383" hidden="1" customWidth="1"/>
    <col min="9" max="9" width="13.42578125" style="1383" hidden="1" customWidth="1"/>
    <col min="10" max="10" width="13" style="1383" hidden="1" customWidth="1"/>
    <col min="11" max="13" width="14.5703125" style="1383" hidden="1" customWidth="1"/>
    <col min="14" max="15" width="14.28515625" style="1383" customWidth="1"/>
    <col min="16" max="16" width="12.28515625" style="1383" hidden="1" customWidth="1"/>
    <col min="17" max="17" width="14.28515625" style="1383" customWidth="1"/>
    <col min="18" max="18" width="0" style="1383" hidden="1" customWidth="1"/>
    <col min="19" max="23" width="14.28515625" style="1383" customWidth="1"/>
    <col min="24" max="24" width="12.7109375" style="1383" customWidth="1"/>
    <col min="25" max="25" width="13" style="1383" customWidth="1"/>
    <col min="26" max="27" width="12.5703125" style="1383" customWidth="1"/>
    <col min="28" max="28" width="12.7109375" style="1383" customWidth="1"/>
    <col min="29" max="30" width="13" style="1383" customWidth="1"/>
    <col min="31" max="31" width="11.42578125" style="1383" hidden="1" customWidth="1"/>
    <col min="32" max="16384" width="11.42578125" style="1383"/>
  </cols>
  <sheetData>
    <row r="1" spans="1:31" ht="108" customHeight="1">
      <c r="A1" s="1383"/>
    </row>
    <row r="2" spans="1:31">
      <c r="B2" s="584"/>
      <c r="E2" s="1385"/>
    </row>
    <row r="3" spans="1:31" s="537" customFormat="1" ht="13.5" thickBot="1">
      <c r="A3" s="570"/>
      <c r="B3" s="571" t="s">
        <v>473</v>
      </c>
      <c r="E3" s="584"/>
    </row>
    <row r="4" spans="1:31" s="537" customFormat="1" ht="15.75" thickBot="1">
      <c r="A4" s="1451" t="s">
        <v>478</v>
      </c>
      <c r="B4" s="1463" t="str">
        <f>Criterios!B9</f>
        <v>ANDALUCIA</v>
      </c>
      <c r="C4" s="1452"/>
      <c r="D4" s="1452"/>
      <c r="E4" s="1453"/>
      <c r="F4" s="1452"/>
      <c r="G4" s="668"/>
      <c r="H4" s="1696" t="s">
        <v>479</v>
      </c>
      <c r="I4" s="1697"/>
      <c r="J4" s="1697"/>
      <c r="K4" s="1697"/>
      <c r="L4" s="1697"/>
      <c r="M4" s="1454"/>
      <c r="N4" s="1696" t="s">
        <v>480</v>
      </c>
      <c r="O4" s="1697"/>
      <c r="P4" s="1697"/>
      <c r="Q4" s="1697"/>
      <c r="R4" s="1697"/>
      <c r="S4" s="1697"/>
      <c r="T4" s="1697"/>
      <c r="U4" s="1697"/>
      <c r="V4" s="1697"/>
      <c r="W4" s="1697"/>
      <c r="X4" s="1697"/>
      <c r="Y4" s="1697"/>
      <c r="Z4" s="1697"/>
      <c r="AA4" s="1697"/>
      <c r="AB4" s="1697"/>
      <c r="AC4" s="1697"/>
      <c r="AD4" s="1698"/>
    </row>
    <row r="5" spans="1:31" s="537" customFormat="1" ht="15.75" customHeight="1">
      <c r="A5" s="1710" t="s">
        <v>469</v>
      </c>
      <c r="B5" s="1712" t="str">
        <f>"Año:  " &amp;Criterios!B5 &amp; "      Trimestre   " &amp;Criterios!D5 &amp; " al " &amp;Criterios!D6</f>
        <v>Año:  2021      Trimestre   1 al 4</v>
      </c>
      <c r="C5" s="1716" t="s">
        <v>341</v>
      </c>
      <c r="D5" s="1718" t="s">
        <v>176</v>
      </c>
      <c r="E5" s="1718" t="s">
        <v>126</v>
      </c>
      <c r="F5" s="1720" t="s">
        <v>14</v>
      </c>
      <c r="G5" s="1702"/>
      <c r="H5" s="1699" t="s">
        <v>474</v>
      </c>
      <c r="I5" s="1722" t="s">
        <v>476</v>
      </c>
      <c r="J5" s="1699" t="s">
        <v>475</v>
      </c>
      <c r="K5" s="1701" t="s">
        <v>391</v>
      </c>
      <c r="L5" s="1701" t="s">
        <v>477</v>
      </c>
      <c r="M5" s="1701" t="s">
        <v>471</v>
      </c>
      <c r="N5" s="1686"/>
      <c r="O5" s="1687"/>
      <c r="P5" s="582"/>
      <c r="Q5" s="1690" t="s">
        <v>601</v>
      </c>
      <c r="R5" s="1691"/>
      <c r="S5" s="1692"/>
      <c r="T5" s="1704"/>
      <c r="U5" s="1705"/>
      <c r="V5" s="1706"/>
      <c r="W5" s="1690" t="s">
        <v>352</v>
      </c>
      <c r="X5" s="1691"/>
      <c r="Y5" s="1691"/>
      <c r="Z5" s="1692"/>
      <c r="AA5" s="1690" t="s">
        <v>596</v>
      </c>
      <c r="AB5" s="1691"/>
      <c r="AC5" s="1691"/>
      <c r="AD5" s="1692"/>
    </row>
    <row r="6" spans="1:31" s="537" customFormat="1" ht="21.75" customHeight="1" thickBot="1">
      <c r="A6" s="1711"/>
      <c r="B6" s="1713"/>
      <c r="C6" s="1717"/>
      <c r="D6" s="1719"/>
      <c r="E6" s="1719"/>
      <c r="F6" s="1721"/>
      <c r="G6" s="1702"/>
      <c r="H6" s="1700"/>
      <c r="I6" s="1723"/>
      <c r="J6" s="1700"/>
      <c r="K6" s="1702"/>
      <c r="L6" s="1702"/>
      <c r="M6" s="1702"/>
      <c r="N6" s="1688"/>
      <c r="O6" s="1689"/>
      <c r="P6" s="1455"/>
      <c r="Q6" s="1693"/>
      <c r="R6" s="1694"/>
      <c r="S6" s="1695"/>
      <c r="T6" s="1707"/>
      <c r="U6" s="1708"/>
      <c r="V6" s="1709"/>
      <c r="W6" s="1693"/>
      <c r="X6" s="1694"/>
      <c r="Y6" s="1694"/>
      <c r="Z6" s="1695"/>
      <c r="AA6" s="1693"/>
      <c r="AB6" s="1694"/>
      <c r="AC6" s="1694"/>
      <c r="AD6" s="1695"/>
    </row>
    <row r="7" spans="1:31" s="537" customFormat="1" ht="84" customHeight="1">
      <c r="A7" s="1711"/>
      <c r="B7" s="1456" t="str">
        <f>Datos!A7</f>
        <v>COMPETENCIAS</v>
      </c>
      <c r="C7" s="1717"/>
      <c r="D7" s="1719"/>
      <c r="E7" s="1719"/>
      <c r="F7" s="1721"/>
      <c r="G7" s="1702"/>
      <c r="H7" s="1700"/>
      <c r="I7" s="1723"/>
      <c r="J7" s="1700"/>
      <c r="K7" s="1702"/>
      <c r="L7" s="1702"/>
      <c r="M7" s="1703"/>
      <c r="N7" s="1457" t="s">
        <v>294</v>
      </c>
      <c r="O7" s="1457" t="s">
        <v>512</v>
      </c>
      <c r="P7" s="1458" t="s">
        <v>513</v>
      </c>
      <c r="Q7" s="1459" t="s">
        <v>514</v>
      </c>
      <c r="R7" s="1458" t="s">
        <v>505</v>
      </c>
      <c r="S7" s="1459" t="s">
        <v>1153</v>
      </c>
      <c r="T7" s="1526" t="s">
        <v>1154</v>
      </c>
      <c r="U7" s="1526" t="s">
        <v>1155</v>
      </c>
      <c r="V7" s="1526" t="s">
        <v>1156</v>
      </c>
      <c r="W7" s="1457" t="s">
        <v>597</v>
      </c>
      <c r="X7" s="1541" t="s">
        <v>1158</v>
      </c>
      <c r="Y7" s="1541" t="s">
        <v>1159</v>
      </c>
      <c r="Z7" s="1542" t="s">
        <v>1160</v>
      </c>
      <c r="AA7" s="1460" t="s">
        <v>597</v>
      </c>
      <c r="AB7" s="1461" t="s">
        <v>598</v>
      </c>
      <c r="AC7" s="1461" t="s">
        <v>599</v>
      </c>
      <c r="AD7" s="1462" t="s">
        <v>600</v>
      </c>
      <c r="AE7" s="1462" t="s">
        <v>1151</v>
      </c>
    </row>
    <row r="8" spans="1:31" ht="15">
      <c r="A8" s="1714" t="str">
        <f>Datos!A8</f>
        <v>Jurisdicción Civil ( 1 ):</v>
      </c>
      <c r="B8" s="1715"/>
      <c r="C8" s="1391"/>
      <c r="D8" s="1391"/>
      <c r="E8" s="1392"/>
      <c r="F8" s="1392"/>
      <c r="G8" s="1392"/>
      <c r="H8" s="1393"/>
      <c r="I8" s="1391"/>
      <c r="J8" s="1393"/>
      <c r="K8" s="1394"/>
      <c r="L8" s="1394"/>
      <c r="M8" s="290"/>
      <c r="N8" s="1394"/>
      <c r="O8" s="1394"/>
      <c r="P8" s="1395"/>
      <c r="Q8" s="1396"/>
      <c r="R8" s="1395"/>
      <c r="S8" s="1396"/>
      <c r="T8" s="1397"/>
      <c r="U8" s="1397"/>
      <c r="V8" s="1399"/>
      <c r="W8" s="1397"/>
      <c r="X8" s="1398"/>
      <c r="Y8" s="1398"/>
      <c r="Z8" s="1399"/>
      <c r="AA8" s="1400"/>
      <c r="AB8" s="1398"/>
      <c r="AC8" s="1398"/>
      <c r="AD8" s="1398"/>
      <c r="AE8" s="1399"/>
    </row>
    <row r="9" spans="1:31" ht="15">
      <c r="A9" s="1401">
        <f>ABS(Datos!AO9)</f>
        <v>17</v>
      </c>
      <c r="B9" s="1464" t="str">
        <f>Datos!A9</f>
        <v xml:space="preserve">Jdos. 1ª Instancia   </v>
      </c>
      <c r="C9" s="239" t="str">
        <f t="shared" ref="C9:C13" si="0">IF(ISNUMBER(H9-E9+F9),H9-E9+F9," - ")</f>
        <v xml:space="preserve"> - </v>
      </c>
      <c r="D9" s="239" t="str">
        <f>IF(ISNUMBER(IF(J_V="SI",Datos!I9,Datos!I9+Datos!Y9)-IF(Monitorios="SI",Datos!CA9,0)),
                          IF(J_V="SI",Datos!I9,Datos!I9+Datos!Y9)-IF(Monitorios="SI",Datos!CA9,0),
                          " - ")</f>
        <v xml:space="preserve"> - </v>
      </c>
      <c r="E9" s="240" t="str">
        <f>IF(ISNUMBER(IF(J_V="SI",Datos!J9,Datos!J9+Datos!Z9)-IF(Monitorios="SI",Datos!CB9,0)),
                          IF(J_V="SI",Datos!J9,Datos!J9+Datos!Z9)-IF(Monitorios="SI",Datos!CB9,0),
                          " - ")</f>
        <v xml:space="preserve"> - </v>
      </c>
      <c r="F9" s="240" t="str">
        <f>IF(ISNUMBER(IF(J_V="SI",Datos!K9,Datos!K9+Datos!AA9)-IF(Monitorios="SI",Datos!CC9,0)),
                          IF(J_V="SI",Datos!K9,Datos!K9+Datos!AA9)-IF(Monitorios="SI",Datos!CC9,0),
                          " - ")</f>
        <v xml:space="preserve"> - </v>
      </c>
      <c r="G9" s="1392" t="str">
        <f>IF(Datos!E9&lt;&gt;"",Datos!E9,Datos!D9)</f>
        <v>01</v>
      </c>
      <c r="H9" s="241" t="str">
        <f>IF(ISNUMBER(IF(J_V="SI",Datos!L9,Datos!L9+Datos!AB9)-IF(Monitorios="SI",Datos!CD9,0)),
                          IF(J_V="SI",Datos!L9,Datos!L9+Datos!AB9)-IF(Monitorios="SI",Datos!CD9,0),
                          " - ")</f>
        <v xml:space="preserve"> - </v>
      </c>
      <c r="I9" s="1402" t="str">
        <f>IF(ISNUMBER(Datos!AS9/Datos!BM9),Datos!AS9/Datos!BM9," - ")</f>
        <v xml:space="preserve"> - </v>
      </c>
      <c r="J9" s="1403">
        <f>IF(ISNUMBER(Datos!BY9/Datos!CN9),Datos!BY9/Datos!CN9," - ")</f>
        <v>0</v>
      </c>
      <c r="K9" s="244" t="str">
        <f>IF(ISNUMBER((E9-F9)/C9),(E9-F9)/C9," - ")</f>
        <v xml:space="preserve"> - </v>
      </c>
      <c r="L9" s="1404">
        <f>IF(ISNUMBER(NºAsuntos!I9/NºAsuntos!G9),(NºAsuntos!I9/NºAsuntos!G9)*11," - ")</f>
        <v>6.8138493398912763</v>
      </c>
      <c r="M9" s="242" t="str">
        <f>IF(ISNUMBER(Datos!CL9),Datos!CL9," - ")</f>
        <v xml:space="preserve"> - </v>
      </c>
      <c r="N9" s="550">
        <f>Datos!CU9</f>
        <v>0</v>
      </c>
      <c r="O9" s="1393">
        <f>Datos!CT9</f>
        <v>0</v>
      </c>
      <c r="P9" s="1405" t="str">
        <f>IF(ISNUMBER((Datos!AS9/Datos!AQ9)),(Datos!AS9/Datos!AQ9)," - ")</f>
        <v xml:space="preserve"> - </v>
      </c>
      <c r="Q9" s="268">
        <f>IF(ISNUMBER(Datos!CQ9+Datos!CR9),Datos!CQ9+Datos!CR9*0.86," - ")</f>
        <v>0</v>
      </c>
      <c r="R9" s="266" t="str">
        <f>IF(ISNUMBER((P9/Datos!CO9)*factor_trimestre),(P9/Datos!CO9)*factor_trimestre," - ")</f>
        <v xml:space="preserve"> - </v>
      </c>
      <c r="S9" s="397">
        <f>IF(ISNUMBER((Q9/Datos!CP9)*factor_trimestre),(Q9/Datos!CP9)*factor_trimestre," - ")</f>
        <v>0</v>
      </c>
      <c r="T9" s="549">
        <f>Datos!ET9</f>
        <v>0</v>
      </c>
      <c r="U9" s="1534"/>
      <c r="V9" s="1539" t="str">
        <f>IF(U9="",IF(ISNUMBER(IF(ISNUMBER(S9),S9,0)/((Datos!EU9-Datos!ET9)/Datos!EU9)),IF(ISNUMBER(S9),S9,0)/((Datos!EU9-Datos!ET9)/Datos!EU9)," - "),IF(ISNUMBER(IF(ISNUMBER(S9),S9,0)/((Datos!EU9-U9)/Datos!EU9)),IF(ISNUMBER(S9),S9,0)/((Datos!EU9-U9)/Datos!EU9)))</f>
        <v xml:space="preserve"> - </v>
      </c>
      <c r="W9" s="549" t="str">
        <f>IF(ISNUMBER(Datos!CV9),Datos!CV9," - ")</f>
        <v xml:space="preserve"> - </v>
      </c>
      <c r="X9" s="549" t="str">
        <f>IF(ISNUMBER(Datos!DH9),Datos!DH9," - ")</f>
        <v xml:space="preserve"> - </v>
      </c>
      <c r="Y9" s="549" t="str">
        <f>IF(ISNUMBER(Datos!DI9),Datos!DI9," - ")</f>
        <v xml:space="preserve"> - </v>
      </c>
      <c r="Z9" s="375" t="str">
        <f>IF(ISNUMBER(Datos!DJ9),Datos!DJ9," - ")</f>
        <v xml:space="preserve"> - </v>
      </c>
      <c r="AA9" s="566" t="str">
        <f>IF(ISNUMBER(Datos!DG9),Datos!DG9," - ")</f>
        <v xml:space="preserve"> - </v>
      </c>
      <c r="AB9" s="374" t="str">
        <f>IF(ISNUMBER(Datos!CY9),Datos!CY9," - ")</f>
        <v xml:space="preserve"> - </v>
      </c>
      <c r="AC9" s="374" t="str">
        <f>IF(ISNUMBER(Datos!CZ9),Datos!CZ9," - ")</f>
        <v xml:space="preserve"> - </v>
      </c>
      <c r="AD9" s="374" t="str">
        <f>IF(ISNUMBER(Datos!DA9),Datos!DA9," - ")</f>
        <v xml:space="preserve"> - </v>
      </c>
      <c r="AE9" s="1527">
        <v>0</v>
      </c>
    </row>
    <row r="10" spans="1:31" ht="15">
      <c r="A10" s="1401">
        <f>ABS(Datos!AO10)</f>
        <v>3</v>
      </c>
      <c r="B10" s="1464" t="str">
        <f>Datos!A10</f>
        <v>Jdos. Violencia contra la mujer</v>
      </c>
      <c r="C10" s="239">
        <f t="shared" si="0"/>
        <v>265</v>
      </c>
      <c r="D10" s="239">
        <f>IF(ISNUMBER(Datos!I10),Datos!I10," - ")</f>
        <v>260</v>
      </c>
      <c r="E10" s="240">
        <f>IF(ISNUMBER(Datos!J10),Datos!J10," - ")</f>
        <v>471</v>
      </c>
      <c r="F10" s="240">
        <f>IF(ISNUMBER(Datos!K10),Datos!K10," - ")</f>
        <v>532</v>
      </c>
      <c r="G10" s="1392" t="str">
        <f>IF(Datos!E10&lt;&gt;"",Datos!E10,Datos!D10)</f>
        <v>37</v>
      </c>
      <c r="H10" s="241">
        <f>IF(ISNUMBER(Datos!L10),Datos!L10," - ")</f>
        <v>204</v>
      </c>
      <c r="I10" s="1402" t="str">
        <f>IF(ISNUMBER(Datos!AS10/Datos!BM10),Datos!AS10/Datos!BM10," - ")</f>
        <v xml:space="preserve"> - </v>
      </c>
      <c r="J10" s="1403">
        <f>IF(ISNUMBER(Datos!BY10/Datos!CN10),Datos!BY10/Datos!CN10," - ")</f>
        <v>0</v>
      </c>
      <c r="K10" s="244">
        <f t="shared" ref="K10:K13" si="1">IF(ISNUMBER((E10-F10)/C10),(E10-F10)/C10," - ")</f>
        <v>-0.23018867924528302</v>
      </c>
      <c r="L10" s="1404">
        <f>IF(ISNUMBER(NºAsuntos!I10/NºAsuntos!G10),(NºAsuntos!I10/NºAsuntos!G10)*11," - ")</f>
        <v>4.2180451127819545</v>
      </c>
      <c r="M10" s="242" t="str">
        <f>IF(ISNUMBER(Datos!CL10),Datos!CL10," - ")</f>
        <v xml:space="preserve"> - </v>
      </c>
      <c r="N10" s="550">
        <f>Datos!CU10</f>
        <v>0</v>
      </c>
      <c r="O10" s="1393">
        <f>Datos!CT10</f>
        <v>0</v>
      </c>
      <c r="P10" s="1405" t="str">
        <f>IF(ISNUMBER((Datos!AS10/Datos!AQ10)),(Datos!AS10/Datos!AQ10)," - ")</f>
        <v xml:space="preserve"> - </v>
      </c>
      <c r="Q10" s="268" t="str">
        <f>IF(ISNUMBER(Datos!CQ10),Datos!CQ10," - ")</f>
        <v xml:space="preserve"> - </v>
      </c>
      <c r="R10" s="266" t="str">
        <f>IF(ISNUMBER((P10/Datos!CO10)*factor_trimestre),(P10/Datos!CO10)*factor_trimestre," - ")</f>
        <v xml:space="preserve"> - </v>
      </c>
      <c r="S10" s="397" t="str">
        <f>IF(ISNUMBER((Q10/Datos!CP10)*factor_trimestre),(Q10/Datos!CP10)*factor_trimestre," - ")</f>
        <v xml:space="preserve"> - </v>
      </c>
      <c r="T10" s="549">
        <f>Datos!ET10</f>
        <v>0</v>
      </c>
      <c r="U10" s="1534"/>
      <c r="V10" s="1539" t="str">
        <f>IF(U10="",IF(ISNUMBER(IF(ISNUMBER(S10),S10,0)/((Datos!EU10-Datos!ET10)/Datos!EU10)),IF(ISNUMBER(S10),S10,0)/((Datos!EU10-Datos!ET10)/Datos!EU10)," - "),IF(ISNUMBER(IF(ISNUMBER(S10),S10,0)/((Datos!EU10-U10)/Datos!EU10)),IF(ISNUMBER(S10),S10,0)/((Datos!EU10-U10)/Datos!EU10)))</f>
        <v xml:space="preserve"> - </v>
      </c>
      <c r="W10" s="549" t="str">
        <f>IF(ISNUMBER(Datos!CV10),Datos!CV10," - ")</f>
        <v xml:space="preserve"> - </v>
      </c>
      <c r="X10" s="549" t="str">
        <f>IF(ISNUMBER(Datos!DH10),Datos!DH10," - ")</f>
        <v xml:space="preserve"> - </v>
      </c>
      <c r="Y10" s="549" t="str">
        <f>IF(ISNUMBER(Datos!DI10),Datos!DI10," - ")</f>
        <v xml:space="preserve"> - </v>
      </c>
      <c r="Z10" s="375" t="str">
        <f>IF(ISNUMBER(Datos!DJ10),Datos!DJ10," - ")</f>
        <v xml:space="preserve"> - </v>
      </c>
      <c r="AA10" s="566" t="str">
        <f>IF(ISNUMBER(Datos!DG10),Datos!DG10," - ")</f>
        <v xml:space="preserve"> - </v>
      </c>
      <c r="AB10" s="374" t="str">
        <f>IF(ISNUMBER(Datos!CY10),Datos!CY10," - ")</f>
        <v xml:space="preserve"> - </v>
      </c>
      <c r="AC10" s="374" t="str">
        <f>IF(ISNUMBER(Datos!CZ10),Datos!CZ10," - ")</f>
        <v xml:space="preserve"> - </v>
      </c>
      <c r="AD10" s="374" t="str">
        <f>IF(ISNUMBER(Datos!DA10),Datos!DA10," - ")</f>
        <v xml:space="preserve"> - </v>
      </c>
      <c r="AE10" s="1527">
        <v>0</v>
      </c>
    </row>
    <row r="11" spans="1:31" ht="15">
      <c r="A11" s="1401">
        <f>ABS(Datos!AO11)</f>
        <v>4</v>
      </c>
      <c r="B11" s="1464" t="str">
        <f>Datos!A11</f>
        <v xml:space="preserve">Jdos. Familia                                   </v>
      </c>
      <c r="C11" s="239" t="str">
        <f t="shared" si="0"/>
        <v xml:space="preserve"> - </v>
      </c>
      <c r="D11" s="239" t="str">
        <f>IF(ISNUMBER(IF(J_V="SI",Datos!I11,Datos!I11+Datos!Y11)-IF(Monitorios="SI",Datos!CA11,0)),
                          IF(J_V="SI",Datos!I11,Datos!I11+Datos!Y11)-IF(Monitorios="SI",Datos!CA11,0),
                          " - ")</f>
        <v xml:space="preserve"> - </v>
      </c>
      <c r="E11" s="240" t="str">
        <f>IF(ISNUMBER(IF(J_V="SI",Datos!J11,Datos!J11+Datos!Z11)-IF(Monitorios="SI",Datos!CB11,0)),
                          IF(J_V="SI",Datos!J11,Datos!J11+Datos!Z11)-IF(Monitorios="SI",Datos!CB11,0),
                          " - ")</f>
        <v xml:space="preserve"> - </v>
      </c>
      <c r="F11" s="240" t="str">
        <f>IF(ISNUMBER(IF(J_V="SI",Datos!K11,Datos!K11+Datos!AA11)-IF(Monitorios="SI",Datos!CC11,0)),
                          IF(J_V="SI",Datos!K11,Datos!K11+Datos!AA11)-IF(Monitorios="SI",Datos!CC11,0),
                          " - ")</f>
        <v xml:space="preserve"> - </v>
      </c>
      <c r="G11" s="1392" t="str">
        <f>IF(Datos!E11&lt;&gt;"",Datos!E11,Datos!D11)</f>
        <v>02</v>
      </c>
      <c r="H11" s="241" t="str">
        <f>IF(ISNUMBER(IF(J_V="SI",Datos!L11,Datos!L11+Datos!AB11)-IF(Monitorios="SI",Datos!CD11,0)),
                          IF(J_V="SI",Datos!L11,Datos!L11+Datos!AB11)-IF(Monitorios="SI",Datos!CD11,0),
                          " - ")</f>
        <v xml:space="preserve"> - </v>
      </c>
      <c r="I11" s="1402" t="str">
        <f>IF(ISNUMBER(Datos!AS11/Datos!BM11),Datos!AS11/Datos!BM11," - ")</f>
        <v xml:space="preserve"> - </v>
      </c>
      <c r="J11" s="1403">
        <f>IF(ISNUMBER(Datos!BY11/Datos!CN11),Datos!BY11/Datos!CN11," - ")</f>
        <v>0</v>
      </c>
      <c r="K11" s="244" t="str">
        <f t="shared" si="1"/>
        <v xml:space="preserve"> - </v>
      </c>
      <c r="L11" s="1404">
        <f>IF(ISNUMBER(NºAsuntos!I11/NºAsuntos!G11),(NºAsuntos!I11/NºAsuntos!G11)*11," - ")</f>
        <v>4.7373454245671889</v>
      </c>
      <c r="M11" s="242" t="str">
        <f>IF(ISNUMBER(Datos!CL11),Datos!CL11," - ")</f>
        <v xml:space="preserve"> - </v>
      </c>
      <c r="N11" s="550">
        <f>Datos!CU11</f>
        <v>0</v>
      </c>
      <c r="O11" s="1393">
        <f>Datos!CT11</f>
        <v>0</v>
      </c>
      <c r="P11" s="1405" t="str">
        <f>IF(ISNUMBER((Datos!AS11/Datos!AQ11)),(Datos!AS11/Datos!AQ11)," - ")</f>
        <v xml:space="preserve"> - </v>
      </c>
      <c r="Q11" s="268">
        <f>IF(ISNUMBER(Datos!CQ11+Datos!CR11),Datos!CQ11+Datos!CR11," - ")</f>
        <v>0</v>
      </c>
      <c r="R11" s="266" t="str">
        <f>IF(ISNUMBER((P11/Datos!CO11)*factor_trimestre),(P11/Datos!CO11)*factor_trimestre," - ")</f>
        <v xml:space="preserve"> - </v>
      </c>
      <c r="S11" s="397">
        <f>IF(ISNUMBER((Q11/Datos!CP11)*factor_trimestre),(Q11/Datos!CP11)*factor_trimestre," - ")</f>
        <v>0</v>
      </c>
      <c r="T11" s="549">
        <f>Datos!ET11</f>
        <v>0</v>
      </c>
      <c r="U11" s="1534"/>
      <c r="V11" s="1539" t="str">
        <f>IF(U11="",IF(ISNUMBER(IF(ISNUMBER(S11),S11,0)/((Datos!EU11-Datos!ET11)/Datos!EU11)),IF(ISNUMBER(S11),S11,0)/((Datos!EU11-Datos!ET11)/Datos!EU11)," - "),IF(ISNUMBER(IF(ISNUMBER(S11),S11,0)/((Datos!EU11-U11)/Datos!EU11)),IF(ISNUMBER(S11),S11,0)/((Datos!EU11-U11)/Datos!EU11)))</f>
        <v xml:space="preserve"> - </v>
      </c>
      <c r="W11" s="549" t="str">
        <f>IF(ISNUMBER(Datos!CV11),Datos!CV11," - ")</f>
        <v xml:space="preserve"> - </v>
      </c>
      <c r="X11" s="549" t="str">
        <f>IF(ISNUMBER(Datos!DH11),Datos!DH11," - ")</f>
        <v xml:space="preserve"> - </v>
      </c>
      <c r="Y11" s="549" t="str">
        <f>IF(ISNUMBER(Datos!DI11),Datos!DI11," - ")</f>
        <v xml:space="preserve"> - </v>
      </c>
      <c r="Z11" s="375" t="str">
        <f>IF(ISNUMBER(Datos!DJ11),Datos!DJ11," - ")</f>
        <v xml:space="preserve"> - </v>
      </c>
      <c r="AA11" s="566" t="str">
        <f>IF(ISNUMBER(Datos!DG11),Datos!DG11," - ")</f>
        <v xml:space="preserve"> - </v>
      </c>
      <c r="AB11" s="374" t="str">
        <f>IF(ISNUMBER(Datos!CY11),Datos!CY11," - ")</f>
        <v xml:space="preserve"> - </v>
      </c>
      <c r="AC11" s="374" t="str">
        <f>IF(ISNUMBER(Datos!CZ11),Datos!CZ11," - ")</f>
        <v xml:space="preserve"> - </v>
      </c>
      <c r="AD11" s="374" t="str">
        <f>IF(ISNUMBER(Datos!DA11),Datos!DA11," - ")</f>
        <v xml:space="preserve"> - </v>
      </c>
      <c r="AE11" s="1527">
        <v>0</v>
      </c>
    </row>
    <row r="12" spans="1:31" ht="15">
      <c r="A12" s="1401">
        <f>ABS(Datos!AO12)</f>
        <v>0</v>
      </c>
      <c r="B12" s="1464" t="str">
        <f>Datos!A12</f>
        <v xml:space="preserve">Jdos. 1ª Instª. e Instr.                        </v>
      </c>
      <c r="C12" s="239" t="str">
        <f t="shared" si="0"/>
        <v xml:space="preserve"> - </v>
      </c>
      <c r="D12" s="239" t="str">
        <f>IF(ISNUMBER(IF(J_V="SI",Datos!I12,Datos!I12+Datos!Y12)-IF(Monitorios="SI",Datos!CA12,0)),
                          IF(J_V="SI",Datos!I12,Datos!I12+Datos!Y12)-IF(Monitorios="SI",Datos!CA12,0),
                          " - ")</f>
        <v xml:space="preserve"> - </v>
      </c>
      <c r="E12" s="240" t="str">
        <f>IF(ISNUMBER(IF(J_V="SI",Datos!J12,Datos!J12+Datos!Z12)-IF(Monitorios="SI",Datos!CB12,0)),
                          IF(J_V="SI",Datos!J12,Datos!J12+Datos!Z12)-IF(Monitorios="SI",Datos!CB12,0),
                          " - ")</f>
        <v xml:space="preserve"> - </v>
      </c>
      <c r="F12" s="240" t="str">
        <f>IF(ISNUMBER(IF(J_V="SI",Datos!K12,Datos!K12+Datos!AA12)-IF(Monitorios="SI",Datos!CC12,0)),
                          IF(J_V="SI",Datos!K12,Datos!K12+Datos!AA12)-IF(Monitorios="SI",Datos!CC12,0),
                          " - ")</f>
        <v xml:space="preserve"> - </v>
      </c>
      <c r="G12" s="1392" t="str">
        <f>IF(Datos!E12&lt;&gt;"",Datos!E12,Datos!D12)</f>
        <v>04</v>
      </c>
      <c r="H12" s="241" t="str">
        <f>IF(ISNUMBER(IF(J_V="SI",Datos!L12,Datos!L12+Datos!AB12)-IF(Monitorios="SI",Datos!CD12,0)),
                          IF(J_V="SI",Datos!L12,Datos!L12+Datos!AB12)-IF(Monitorios="SI",Datos!CD12,0),
                          " - ")</f>
        <v xml:space="preserve"> - </v>
      </c>
      <c r="I12" s="1402" t="str">
        <f>IF(ISNUMBER(Datos!AS12/Datos!BM12),Datos!AS12/Datos!BM12," - ")</f>
        <v xml:space="preserve"> - </v>
      </c>
      <c r="J12" s="1403">
        <f>IF(ISNUMBER(Datos!BY12/Datos!CN12),Datos!BY12/Datos!CN12," - ")</f>
        <v>0</v>
      </c>
      <c r="K12" s="244" t="str">
        <f t="shared" si="1"/>
        <v xml:space="preserve"> - </v>
      </c>
      <c r="L12" s="1404" t="str">
        <f>IF(ISNUMBER(NºAsuntos!I12/NºAsuntos!G12),(NºAsuntos!I12/NºAsuntos!G12)*11," - ")</f>
        <v xml:space="preserve"> - </v>
      </c>
      <c r="M12" s="242" t="str">
        <f>IF(ISNUMBER(Datos!CL12),Datos!CL12," - ")</f>
        <v xml:space="preserve"> - </v>
      </c>
      <c r="N12" s="550">
        <f>Datos!CU12</f>
        <v>0</v>
      </c>
      <c r="O12" s="1393">
        <f>Datos!CT12</f>
        <v>0</v>
      </c>
      <c r="P12" s="1405" t="str">
        <f>IF(ISNUMBER((Datos!AS12/Datos!AQ12)),(Datos!AS12/Datos!AQ12)," - ")</f>
        <v xml:space="preserve"> - </v>
      </c>
      <c r="Q12" s="268" t="str">
        <f>IF(ISNUMBER(Datos!CQ12),Datos!CQ12," - ")</f>
        <v xml:space="preserve"> - </v>
      </c>
      <c r="R12" s="266" t="str">
        <f>IF(ISNUMBER((P12/Datos!CO12)*factor_trimestre),(P12/Datos!CO12)*factor_trimestre," - ")</f>
        <v xml:space="preserve"> - </v>
      </c>
      <c r="S12" s="397" t="str">
        <f>IF(ISNUMBER((Q12/Datos!CP12)*factor_trimestre),(Q12/Datos!CP12)*factor_trimestre," - ")</f>
        <v xml:space="preserve"> - </v>
      </c>
      <c r="T12" s="549">
        <f>Datos!ET12</f>
        <v>0</v>
      </c>
      <c r="U12" s="1534"/>
      <c r="V12" s="1539" t="str">
        <f>IF(U12="",IF(ISNUMBER(IF(ISNUMBER(S12),S12,0)/((Datos!EU12-Datos!ET12)/Datos!EU12)),IF(ISNUMBER(S12),S12,0)/((Datos!EU12-Datos!ET12)/Datos!EU12)," - "),IF(ISNUMBER(IF(ISNUMBER(S12),S12,0)/((Datos!EU12-U12)/Datos!EU12)),IF(ISNUMBER(S12),S12,0)/((Datos!EU12-U12)/Datos!EU12)))</f>
        <v xml:space="preserve"> - </v>
      </c>
      <c r="W12" s="549" t="str">
        <f>IF(ISNUMBER(Datos!CV12),Datos!CV12," - ")</f>
        <v xml:space="preserve"> - </v>
      </c>
      <c r="X12" s="549" t="str">
        <f>IF(ISNUMBER(Datos!DH12),Datos!DH12," - ")</f>
        <v xml:space="preserve"> - </v>
      </c>
      <c r="Y12" s="549" t="str">
        <f>IF(ISNUMBER(Datos!DI12),Datos!DI12," - ")</f>
        <v xml:space="preserve"> - </v>
      </c>
      <c r="Z12" s="375" t="str">
        <f>IF(ISNUMBER(Datos!DJ12),Datos!DJ12," - ")</f>
        <v xml:space="preserve"> - </v>
      </c>
      <c r="AA12" s="566" t="str">
        <f>IF(ISNUMBER(Datos!DG12),Datos!DG12," - ")</f>
        <v xml:space="preserve"> - </v>
      </c>
      <c r="AB12" s="374" t="str">
        <f>IF(ISNUMBER(Datos!CY12),Datos!CY12," - ")</f>
        <v xml:space="preserve"> - </v>
      </c>
      <c r="AC12" s="374" t="str">
        <f>IF(ISNUMBER(Datos!CZ12),Datos!CZ12," - ")</f>
        <v xml:space="preserve"> - </v>
      </c>
      <c r="AD12" s="374" t="str">
        <f>IF(ISNUMBER(Datos!DA12),Datos!DA12," - ")</f>
        <v xml:space="preserve"> - </v>
      </c>
      <c r="AE12" s="1527">
        <v>0</v>
      </c>
    </row>
    <row r="13" spans="1:31" ht="15">
      <c r="A13" s="1401">
        <f>ABS(Datos!AO13)</f>
        <v>0</v>
      </c>
      <c r="B13" s="1464" t="str">
        <f>Datos!A13</f>
        <v xml:space="preserve">Jdos. de Menores    </v>
      </c>
      <c r="C13" s="239" t="str">
        <f t="shared" si="0"/>
        <v xml:space="preserve"> - </v>
      </c>
      <c r="D13" s="239" t="str">
        <f>IF(ISNUMBER(Datos!I13),Datos!I13," - ")</f>
        <v xml:space="preserve"> - </v>
      </c>
      <c r="E13" s="240" t="str">
        <f>IF(ISNUMBER(Datos!J13),Datos!J13," - ")</f>
        <v xml:space="preserve"> - </v>
      </c>
      <c r="F13" s="240" t="str">
        <f>IF(ISNUMBER(Datos!K13),Datos!K13," - ")</f>
        <v xml:space="preserve"> - </v>
      </c>
      <c r="G13" s="1392" t="str">
        <f>IF(Datos!E13&lt;&gt;"",Datos!E13,Datos!D13)</f>
        <v>07</v>
      </c>
      <c r="H13" s="241" t="str">
        <f>IF(ISNUMBER(Datos!L13),Datos!L13," - ")</f>
        <v xml:space="preserve"> - </v>
      </c>
      <c r="I13" s="1402" t="str">
        <f>IF(ISNUMBER(Datos!AS13/Datos!BM13),Datos!AS13/Datos!BM13," - ")</f>
        <v xml:space="preserve"> - </v>
      </c>
      <c r="J13" s="1403">
        <f>IF(ISNUMBER(Datos!BY13/Datos!CN13),Datos!BY13/Datos!CN13," - ")</f>
        <v>0</v>
      </c>
      <c r="K13" s="244" t="str">
        <f t="shared" si="1"/>
        <v xml:space="preserve"> - </v>
      </c>
      <c r="L13" s="1404" t="str">
        <f>IF(ISNUMBER(NºAsuntos!I13/NºAsuntos!G13),(NºAsuntos!I13/NºAsuntos!G13)*11," - ")</f>
        <v xml:space="preserve"> - </v>
      </c>
      <c r="M13" s="242" t="str">
        <f>IF(ISNUMBER(Datos!CL13),Datos!CL13," - ")</f>
        <v xml:space="preserve"> - </v>
      </c>
      <c r="N13" s="550">
        <f>Datos!CU13</f>
        <v>0</v>
      </c>
      <c r="O13" s="1393">
        <f>Datos!CT13</f>
        <v>0</v>
      </c>
      <c r="P13" s="1405" t="str">
        <f>IF(ISNUMBER((Datos!AS13/Datos!AQ13)),(Datos!AS13/Datos!AQ13)," - ")</f>
        <v xml:space="preserve"> - </v>
      </c>
      <c r="Q13" s="268" t="str">
        <f>IF(ISNUMBER(Datos!CQ13),Datos!CQ13," - ")</f>
        <v xml:space="preserve"> - </v>
      </c>
      <c r="R13" s="266" t="str">
        <f>IF(ISNUMBER((P13/Datos!CO13)*factor_trimestre),(P13/Datos!CO13)*factor_trimestre," - ")</f>
        <v xml:space="preserve"> - </v>
      </c>
      <c r="S13" s="397" t="str">
        <f>IF(ISNUMBER((Q13/Datos!CP13)*factor_trimestre),(Q13/Datos!CP13)*factor_trimestre," - ")</f>
        <v xml:space="preserve"> - </v>
      </c>
      <c r="T13" s="549">
        <f>Datos!ET13</f>
        <v>0</v>
      </c>
      <c r="U13" s="1534"/>
      <c r="V13" s="1539" t="str">
        <f>IF(U13="",IF(ISNUMBER(IF(ISNUMBER(S13),S13,0)/((Datos!EU13-Datos!ET13)/Datos!EU13)),IF(ISNUMBER(S13),S13,0)/((Datos!EU13-Datos!ET13)/Datos!EU13)," - "),IF(ISNUMBER(IF(ISNUMBER(S13),S13,0)/((Datos!EU13-U13)/Datos!EU13)),IF(ISNUMBER(S13),S13,0)/((Datos!EU13-U13)/Datos!EU13)))</f>
        <v xml:space="preserve"> - </v>
      </c>
      <c r="W13" s="549" t="str">
        <f>IF(ISNUMBER(Datos!CV13),Datos!CV13," - ")</f>
        <v xml:space="preserve"> - </v>
      </c>
      <c r="X13" s="549" t="str">
        <f>IF(ISNUMBER(Datos!DH13),Datos!DH13," - ")</f>
        <v xml:space="preserve"> - </v>
      </c>
      <c r="Y13" s="549" t="str">
        <f>IF(ISNUMBER(Datos!DI13),Datos!DI13," - ")</f>
        <v xml:space="preserve"> - </v>
      </c>
      <c r="Z13" s="375" t="str">
        <f>IF(ISNUMBER(Datos!DJ13),Datos!DJ13," - ")</f>
        <v xml:space="preserve"> - </v>
      </c>
      <c r="AA13" s="566" t="str">
        <f>IF(ISNUMBER(Datos!DG13),Datos!DG13," - ")</f>
        <v xml:space="preserve"> - </v>
      </c>
      <c r="AB13" s="374" t="str">
        <f>IF(ISNUMBER(Datos!CY13),Datos!CY13," - ")</f>
        <v xml:space="preserve"> - </v>
      </c>
      <c r="AC13" s="374" t="str">
        <f>IF(ISNUMBER(Datos!CZ13),Datos!CZ13," - ")</f>
        <v xml:space="preserve"> - </v>
      </c>
      <c r="AD13" s="374" t="str">
        <f>IF(ISNUMBER(Datos!DA13),Datos!DA13," - ")</f>
        <v xml:space="preserve"> - </v>
      </c>
      <c r="AE13" s="1527">
        <v>0</v>
      </c>
    </row>
    <row r="14" spans="1:31" ht="15">
      <c r="A14" s="1408"/>
      <c r="B14" s="1465" t="str">
        <f>Datos!A14</f>
        <v>TOTAL</v>
      </c>
      <c r="C14" s="1409">
        <f>SUBTOTAL(9,C9:C13)</f>
        <v>265</v>
      </c>
      <c r="D14" s="1409">
        <f>SUBTOTAL(9,D9:D13)</f>
        <v>260</v>
      </c>
      <c r="E14" s="1410">
        <f>SUBTOTAL(9,E9:E13)</f>
        <v>471</v>
      </c>
      <c r="F14" s="1411">
        <f>SUBTOTAL(9,F9:F13)</f>
        <v>532</v>
      </c>
      <c r="G14" s="1412" t="str">
        <f ca="1">INDIRECT(CONCATENATE("G",ROW()-1))</f>
        <v>07</v>
      </c>
      <c r="H14" s="1413">
        <f ca="1">SUMIF(G$8:G13,G14,H$8:H13)</f>
        <v>0</v>
      </c>
      <c r="I14" s="1414"/>
      <c r="J14" s="1415"/>
      <c r="K14" s="1416"/>
      <c r="L14" s="1417"/>
      <c r="M14" s="1413">
        <f ca="1">SUMIF(G$8:G13,G14,M$8:M13)</f>
        <v>0</v>
      </c>
      <c r="N14" s="1417"/>
      <c r="O14" s="1413"/>
      <c r="P14" s="1418">
        <f ca="1">SUMIF(G$8:G13,G14,P$8:P13)</f>
        <v>0</v>
      </c>
      <c r="Q14" s="1419">
        <f ca="1">SUMIF(G$8:G13,G14,Q$8:Q13)</f>
        <v>0</v>
      </c>
      <c r="R14" s="1418">
        <f ca="1">SUMIF(G$8:G13,G14,R$8:R13)</f>
        <v>0</v>
      </c>
      <c r="S14" s="1420">
        <f ca="1">SUMIF(G$8:G13,G14,S$8:S13)</f>
        <v>0</v>
      </c>
      <c r="T14" s="1412"/>
      <c r="U14" s="1535"/>
      <c r="V14" s="1531">
        <f ca="1">SUMIF(G$8:G13,G14,V$8:V13)</f>
        <v>0</v>
      </c>
      <c r="W14" s="1421">
        <f ca="1">SUMIF($G$8:$G13,$G14,W$8:W13)</f>
        <v>0</v>
      </c>
      <c r="X14" s="1421">
        <f ca="1">SUMIF($G$8:$G13,$G14,X$8:X13)</f>
        <v>0</v>
      </c>
      <c r="Y14" s="1421">
        <f ca="1">SUMIF($G$8:$G13,$G14,Y$8:Y13)</f>
        <v>0</v>
      </c>
      <c r="Z14" s="1412">
        <f ca="1">SUMIF($G$8:$G13,$G14,Z$8:Z13)</f>
        <v>0</v>
      </c>
      <c r="AA14" s="1422">
        <f ca="1">SUMIF($G$8:$G13,$G14,AA$8:AA13)</f>
        <v>0</v>
      </c>
      <c r="AB14" s="1421">
        <f ca="1">SUMIF($G$8:$G13,$G14,AB$8:AB13)</f>
        <v>0</v>
      </c>
      <c r="AC14" s="1421">
        <f ca="1">SUMIF($G$8:$G13,$G14,AC$8:AC13)</f>
        <v>0</v>
      </c>
      <c r="AD14" s="1423">
        <f ca="1">SUMIF($G$8:$G13,$G14,AD$8:AD13)</f>
        <v>0</v>
      </c>
      <c r="AE14" s="1527"/>
    </row>
    <row r="15" spans="1:31" ht="15">
      <c r="A15" s="1714" t="str">
        <f>Datos!A15</f>
        <v xml:space="preserve">Jurisdicción Penal ( 2 ):                      </v>
      </c>
      <c r="B15" s="1715"/>
      <c r="C15" s="373"/>
      <c r="D15" s="373"/>
      <c r="E15" s="1424"/>
      <c r="F15" s="1424"/>
      <c r="G15" s="1424"/>
      <c r="H15" s="242"/>
      <c r="I15" s="373"/>
      <c r="J15" s="242"/>
      <c r="K15" s="244"/>
      <c r="L15" s="244"/>
      <c r="M15" s="242"/>
      <c r="N15" s="244"/>
      <c r="O15" s="1425"/>
      <c r="P15" s="1426"/>
      <c r="Q15" s="1427"/>
      <c r="R15" s="1428"/>
      <c r="S15" s="1425"/>
      <c r="T15" s="1392"/>
      <c r="U15" s="1536"/>
      <c r="V15" s="1532"/>
      <c r="W15" s="1429"/>
      <c r="X15" s="1398"/>
      <c r="Y15" s="1398"/>
      <c r="Z15" s="1399"/>
      <c r="AA15" s="1406"/>
      <c r="AB15" s="690"/>
      <c r="AC15" s="690"/>
      <c r="AD15" s="1407"/>
      <c r="AE15" s="1527"/>
    </row>
    <row r="16" spans="1:31" ht="15">
      <c r="A16" s="1401">
        <f>ABS(Datos!AO16)</f>
        <v>14</v>
      </c>
      <c r="B16" s="1464" t="str">
        <f>Datos!A16</f>
        <v xml:space="preserve">Jdos. Instrucción                               </v>
      </c>
      <c r="C16" s="239">
        <f t="shared" ref="C16:C22" si="2">IF(ISNUMBER(H16-E16+F16),H16-E16+F16," - ")</f>
        <v>6112</v>
      </c>
      <c r="D16" s="239">
        <f>IF(ISNUMBER(IF(D_I="SI",Datos!I16,Datos!I16+Datos!AC16)),IF(D_I="SI",Datos!I16,Datos!I16+Datos!AC16)," - ")</f>
        <v>5463</v>
      </c>
      <c r="E16" s="240">
        <f>IF(ISNUMBER(IF(D_I="SI",Datos!J16,Datos!J16+Datos!AD16)),IF(D_I="SI",Datos!J16,Datos!J16+Datos!AD16)," - ")</f>
        <v>70176</v>
      </c>
      <c r="F16" s="240">
        <f>IF(ISNUMBER(IF(D_I="SI",Datos!K16,Datos!K16+Datos!AE16)),IF(D_I="SI",Datos!K16,Datos!K16+Datos!AE16)," - ")</f>
        <v>71221</v>
      </c>
      <c r="G16" s="1392" t="str">
        <f>IF(Datos!E16&lt;&gt;"",Datos!E16,Datos!D16)</f>
        <v>03</v>
      </c>
      <c r="H16" s="241">
        <f>IF(ISNUMBER(IF(D_I="SI",Datos!L16,Datos!L16+Datos!AF16)),IF(D_I="SI",Datos!L16,Datos!L16+Datos!AF16)," - ")</f>
        <v>5067</v>
      </c>
      <c r="I16" s="1402" t="str">
        <f>IF(ISNUMBER(Datos!AS16/Datos!BM16),Datos!AS16/Datos!BM16," - ")</f>
        <v xml:space="preserve"> - </v>
      </c>
      <c r="J16" s="1403">
        <f>IF(ISNUMBER(Datos!BY16/Datos!CN16),Datos!BY16/Datos!CN16," - ")</f>
        <v>0</v>
      </c>
      <c r="K16" s="244">
        <f t="shared" ref="K16:K22" si="3">IF(ISNUMBER((E16-F16)/C16),(E16-F16)/C16," - ")</f>
        <v>-0.17097513089005237</v>
      </c>
      <c r="L16" s="1404">
        <f>IF(ISNUMBER(NºAsuntos!I16/NºAsuntos!G16),(NºAsuntos!I16/NºAsuntos!G16)*11," - ")</f>
        <v>0.78259221297089343</v>
      </c>
      <c r="M16" s="242" t="str">
        <f>IF(ISNUMBER(Datos!CL16),Datos!CL16," - ")</f>
        <v xml:space="preserve"> - </v>
      </c>
      <c r="N16" s="550">
        <f>Datos!CU16</f>
        <v>0</v>
      </c>
      <c r="O16" s="1393">
        <f>Datos!CT16</f>
        <v>0</v>
      </c>
      <c r="P16" s="1405" t="str">
        <f>IF(ISNUMBER((Datos!AS16/Datos!AQ16)),(Datos!AS16/Datos!AQ16)," - ")</f>
        <v xml:space="preserve"> - </v>
      </c>
      <c r="Q16" s="268">
        <f>IF(ISNUMBER(Datos!CQ16+Datos!CR16),Datos!CQ16+Datos!CR16*1.16," - ")</f>
        <v>0</v>
      </c>
      <c r="R16" s="266" t="str">
        <f>IF(ISNUMBER((P16/Datos!CO16)*factor_trimestre),(P16/Datos!CO16)*factor_trimestre," - ")</f>
        <v xml:space="preserve"> - </v>
      </c>
      <c r="S16" s="397">
        <f>IF(ISNUMBER((Q16/Datos!CP16)*factor_trimestre),(Q16/Datos!CP16)*factor_trimestre," - ")</f>
        <v>0</v>
      </c>
      <c r="T16" s="549">
        <f>Datos!ET16</f>
        <v>0</v>
      </c>
      <c r="U16" s="1534"/>
      <c r="V16" s="1539" t="str">
        <f>IF(U16="",IF(ISNUMBER(IF(ISNUMBER(S16),S16,0)/((Datos!EU16-Datos!ET16)/Datos!EU16)),IF(ISNUMBER(S16),S16,0)/((Datos!EU16-Datos!ET16)/Datos!EU16)," - "),IF(ISNUMBER(IF(ISNUMBER(S16),S16,0)/((Datos!EU16-U16)/Datos!EU16)),IF(ISNUMBER(S16),S16,0)/((Datos!EU16-U16)/Datos!EU16)))</f>
        <v xml:space="preserve"> - </v>
      </c>
      <c r="W16" s="549" t="str">
        <f>IF(ISNUMBER(Datos!CV16),Datos!CV16," - ")</f>
        <v xml:space="preserve"> - </v>
      </c>
      <c r="X16" s="549" t="str">
        <f>IF(ISNUMBER(Datos!DH16),Datos!DH16," - ")</f>
        <v xml:space="preserve"> - </v>
      </c>
      <c r="Y16" s="549" t="str">
        <f>IF(ISNUMBER(Datos!DI16),Datos!DI16," - ")</f>
        <v xml:space="preserve"> - </v>
      </c>
      <c r="Z16" s="375" t="str">
        <f>IF(ISNUMBER(Datos!DJ16),Datos!DJ16," - ")</f>
        <v xml:space="preserve"> - </v>
      </c>
      <c r="AA16" s="566" t="str">
        <f>IF(ISNUMBER(Datos!DG16),Datos!DG16," - ")</f>
        <v xml:space="preserve"> - </v>
      </c>
      <c r="AB16" s="374" t="str">
        <f>IF(ISNUMBER(Datos!CY16),Datos!CY16," - ")</f>
        <v xml:space="preserve"> - </v>
      </c>
      <c r="AC16" s="374" t="str">
        <f>IF(ISNUMBER(Datos!CZ16),Datos!CZ16," - ")</f>
        <v xml:space="preserve"> - </v>
      </c>
      <c r="AD16" s="374" t="str">
        <f>IF(ISNUMBER(Datos!DA16),Datos!DA16," - ")</f>
        <v xml:space="preserve"> - </v>
      </c>
      <c r="AE16" s="1527">
        <v>0</v>
      </c>
    </row>
    <row r="17" spans="1:31" ht="15">
      <c r="A17" s="1401">
        <f>ABS(Datos!AO17)</f>
        <v>0</v>
      </c>
      <c r="B17" s="1464" t="str">
        <f>Datos!A17</f>
        <v xml:space="preserve">Jdos. 1ª Instª. e Instr.                        </v>
      </c>
      <c r="C17" s="239" t="str">
        <f t="shared" si="2"/>
        <v xml:space="preserve"> - </v>
      </c>
      <c r="D17" s="239" t="str">
        <f>IF(ISNUMBER(IF(D_I="SI",Datos!I17,Datos!I17+Datos!AC17)),IF(D_I="SI",Datos!I17,Datos!I17+Datos!AC17)," - ")</f>
        <v xml:space="preserve"> - </v>
      </c>
      <c r="E17" s="240" t="str">
        <f>IF(ISNUMBER(IF(D_I="SI",Datos!J17,Datos!J17+Datos!AD17)),IF(D_I="SI",Datos!J17,Datos!J17+Datos!AD17)," - ")</f>
        <v xml:space="preserve"> - </v>
      </c>
      <c r="F17" s="240" t="str">
        <f>IF(ISNUMBER(IF(D_I="SI",Datos!K17,Datos!K17+Datos!AE17)),IF(D_I="SI",Datos!K17,Datos!K17+Datos!AE17)," - ")</f>
        <v xml:space="preserve"> - </v>
      </c>
      <c r="G17" s="1392" t="str">
        <f>IF(Datos!E17&lt;&gt;"",Datos!E17,Datos!D17)</f>
        <v>04</v>
      </c>
      <c r="H17" s="241" t="str">
        <f>IF(ISNUMBER(IF(D_I="SI",Datos!L17,Datos!L17+Datos!AF17)),IF(D_I="SI",Datos!L17,Datos!L17+Datos!AF17)," - ")</f>
        <v xml:space="preserve"> - </v>
      </c>
      <c r="I17" s="1402" t="str">
        <f>IF(ISNUMBER(Datos!AS17/Datos!BM17),Datos!AS17/Datos!BM17," - ")</f>
        <v xml:space="preserve"> - </v>
      </c>
      <c r="J17" s="1403">
        <f>IF(ISNUMBER(Datos!BY17/Datos!CN17),Datos!BY17/Datos!CN17," - ")</f>
        <v>0</v>
      </c>
      <c r="K17" s="244" t="str">
        <f t="shared" si="3"/>
        <v xml:space="preserve"> - </v>
      </c>
      <c r="L17" s="1404" t="str">
        <f>IF(ISNUMBER(NºAsuntos!I17/NºAsuntos!G17),(NºAsuntos!I17/NºAsuntos!G17)*11," - ")</f>
        <v xml:space="preserve"> - </v>
      </c>
      <c r="M17" s="242" t="str">
        <f>IF(ISNUMBER(Datos!CL17),Datos!CL17," - ")</f>
        <v xml:space="preserve"> - </v>
      </c>
      <c r="N17" s="550">
        <f>Datos!CU17</f>
        <v>0</v>
      </c>
      <c r="O17" s="1393">
        <f>Datos!CT17</f>
        <v>0</v>
      </c>
      <c r="P17" s="1405" t="str">
        <f>IF(ISNUMBER((Datos!AS17/Datos!AQ17)),(Datos!AS17/Datos!AQ17)," - ")</f>
        <v xml:space="preserve"> - </v>
      </c>
      <c r="Q17" s="268" t="str">
        <f>IF(ISNUMBER(Datos!CQ17),Datos!CQ17," - ")</f>
        <v xml:space="preserve"> - </v>
      </c>
      <c r="R17" s="266" t="str">
        <f>IF(ISNUMBER((P17/Datos!CO17)*factor_trimestre),(P17/Datos!CO17)*factor_trimestre," - ")</f>
        <v xml:space="preserve"> - </v>
      </c>
      <c r="S17" s="397" t="str">
        <f>IF(ISNUMBER((Q17/Datos!CP17)*factor_trimestre),(Q17/Datos!CP17)*factor_trimestre," - ")</f>
        <v xml:space="preserve"> - </v>
      </c>
      <c r="T17" s="549">
        <f>Datos!ET17</f>
        <v>0</v>
      </c>
      <c r="U17" s="1534"/>
      <c r="V17" s="1539" t="str">
        <f>IF(U17="",IF(ISNUMBER(IF(ISNUMBER(S17),S17,0)/((Datos!EU17-Datos!ET17)/Datos!EU17)),IF(ISNUMBER(S17),S17,0)/((Datos!EU17-Datos!ET17)/Datos!EU17)," - "),IF(ISNUMBER(IF(ISNUMBER(S17),S17,0)/((Datos!EU17-U17)/Datos!EU17)),IF(ISNUMBER(S17),S17,0)/((Datos!EU17-U17)/Datos!EU17)))</f>
        <v xml:space="preserve"> - </v>
      </c>
      <c r="W17" s="549" t="str">
        <f>IF(ISNUMBER(Datos!CV17),Datos!CV17," - ")</f>
        <v xml:space="preserve"> - </v>
      </c>
      <c r="X17" s="549" t="str">
        <f>IF(ISNUMBER(Datos!DH17),Datos!DH17," - ")</f>
        <v xml:space="preserve"> - </v>
      </c>
      <c r="Y17" s="549" t="str">
        <f>IF(ISNUMBER(Datos!DI17),Datos!DI17," - ")</f>
        <v xml:space="preserve"> - </v>
      </c>
      <c r="Z17" s="375" t="str">
        <f>IF(ISNUMBER(Datos!DJ17),Datos!DJ17," - ")</f>
        <v xml:space="preserve"> - </v>
      </c>
      <c r="AA17" s="566" t="str">
        <f>IF(ISNUMBER(Datos!DG17),Datos!DG17," - ")</f>
        <v xml:space="preserve"> - </v>
      </c>
      <c r="AB17" s="374" t="str">
        <f>IF(ISNUMBER(Datos!CY17),Datos!CY17," - ")</f>
        <v xml:space="preserve"> - </v>
      </c>
      <c r="AC17" s="374" t="str">
        <f>IF(ISNUMBER(Datos!CZ17),Datos!CZ17," - ")</f>
        <v xml:space="preserve"> - </v>
      </c>
      <c r="AD17" s="374" t="str">
        <f>IF(ISNUMBER(Datos!DA17),Datos!DA17," - ")</f>
        <v xml:space="preserve"> - </v>
      </c>
      <c r="AE17" s="1527">
        <v>0</v>
      </c>
    </row>
    <row r="18" spans="1:31" ht="15">
      <c r="A18" s="1401">
        <f>ABS(Datos!AO18)</f>
        <v>3</v>
      </c>
      <c r="B18" s="1464" t="str">
        <f>Datos!A18</f>
        <v>Jdos. Violencia contra la mujer</v>
      </c>
      <c r="C18" s="239">
        <f t="shared" si="2"/>
        <v>785</v>
      </c>
      <c r="D18" s="239">
        <f>IF(ISNUMBER(IF(D_I="SI",Datos!I18,Datos!I18+Datos!AC18)),IF(D_I="SI",Datos!I18,Datos!I18+Datos!AC18)," - ")</f>
        <v>726</v>
      </c>
      <c r="E18" s="240">
        <f>IF(ISNUMBER(IF(D_I="SI",Datos!J18,Datos!J18+Datos!AD18)),IF(D_I="SI",Datos!J18,Datos!J18+Datos!AD18)," - ")</f>
        <v>5037</v>
      </c>
      <c r="F18" s="240">
        <f>IF(ISNUMBER(IF(D_I="SI",Datos!K18,Datos!K18+Datos!AE18)),IF(D_I="SI",Datos!K18,Datos!K18+Datos!AE18)," - ")</f>
        <v>5190</v>
      </c>
      <c r="G18" s="1392" t="str">
        <f>IF(Datos!E18&lt;&gt;"",Datos!E18,Datos!D18)</f>
        <v>37</v>
      </c>
      <c r="H18" s="241">
        <f>IF(ISNUMBER(IF(D_I="SI",Datos!L18,Datos!L18+Datos!AF18)),IF(D_I="SI",Datos!L18,Datos!L18+Datos!AF18)," - ")</f>
        <v>632</v>
      </c>
      <c r="I18" s="1402" t="str">
        <f>IF(ISNUMBER(Datos!AS18/Datos!BM18),Datos!AS18/Datos!BM18," - ")</f>
        <v xml:space="preserve"> - </v>
      </c>
      <c r="J18" s="1403" t="str">
        <f>IF(ISNUMBER((Datos!BY18+Datos!BZ18)/Datos!CN18),(Datos!BY18+Datos!BZ18)/Datos!CN18," - ")</f>
        <v xml:space="preserve"> - </v>
      </c>
      <c r="K18" s="244">
        <f t="shared" si="3"/>
        <v>-0.19490445859872613</v>
      </c>
      <c r="L18" s="1404">
        <f>IF(ISNUMBER(NºAsuntos!I18/NºAsuntos!G18),(NºAsuntos!I18/NºAsuntos!G18)*11," - ")</f>
        <v>1.3394990366088633</v>
      </c>
      <c r="M18" s="242" t="str">
        <f>IF(ISNUMBER(Datos!CL18),Datos!CL18," - ")</f>
        <v xml:space="preserve"> - </v>
      </c>
      <c r="N18" s="550">
        <f>Datos!CU18</f>
        <v>0</v>
      </c>
      <c r="O18" s="1393">
        <f>Datos!CT18</f>
        <v>0</v>
      </c>
      <c r="P18" s="1405" t="str">
        <f>IF(ISNUMBER((Datos!AS18/Datos!AQ18)),(Datos!AS18/Datos!AQ18)," - ")</f>
        <v xml:space="preserve"> - </v>
      </c>
      <c r="Q18" s="268" t="str">
        <f>IF(ISNUMBER(Datos!CQ18),Datos!CQ18," - ")</f>
        <v xml:space="preserve"> - </v>
      </c>
      <c r="R18" s="266" t="str">
        <f>IF(ISNUMBER((P18/Datos!CO18)*factor_trimestre),(P18/Datos!CO18)*factor_trimestre," - ")</f>
        <v xml:space="preserve"> - </v>
      </c>
      <c r="S18" s="397" t="str">
        <f>IF(ISNUMBER((Q18/Datos!CP18)*factor_trimestre),(Q18/Datos!CP18)*factor_trimestre," - ")</f>
        <v xml:space="preserve"> - </v>
      </c>
      <c r="T18" s="549">
        <f>Datos!ET18</f>
        <v>0</v>
      </c>
      <c r="U18" s="1534"/>
      <c r="V18" s="1539" t="str">
        <f>IF(U18="",IF(ISNUMBER(IF(ISNUMBER(S18),S18,0)/((Datos!EU18-Datos!ET18)/Datos!EU18)),IF(ISNUMBER(S18),S18,0)/((Datos!EU18-Datos!ET18)/Datos!EU18)," - "),IF(ISNUMBER(IF(ISNUMBER(S18),S18,0)/((Datos!EU18-U18)/Datos!EU18)),IF(ISNUMBER(S18),S18,0)/((Datos!EU18-U18)/Datos!EU18)))</f>
        <v xml:space="preserve"> - </v>
      </c>
      <c r="W18" s="549" t="str">
        <f>IF(ISNUMBER(Datos!CV18),Datos!CV18," - ")</f>
        <v xml:space="preserve"> - </v>
      </c>
      <c r="X18" s="549" t="str">
        <f>IF(ISNUMBER(Datos!DH18),Datos!DH18," - ")</f>
        <v xml:space="preserve"> - </v>
      </c>
      <c r="Y18" s="549" t="str">
        <f>IF(ISNUMBER(Datos!DI18),Datos!DI18," - ")</f>
        <v xml:space="preserve"> - </v>
      </c>
      <c r="Z18" s="375" t="str">
        <f>IF(ISNUMBER(Datos!DJ18),Datos!DJ18," - ")</f>
        <v xml:space="preserve"> - </v>
      </c>
      <c r="AA18" s="566" t="str">
        <f>IF(ISNUMBER(Datos!DG18),Datos!DG18," - ")</f>
        <v xml:space="preserve"> - </v>
      </c>
      <c r="AB18" s="374" t="str">
        <f>IF(ISNUMBER(Datos!CY18),Datos!CY18," - ")</f>
        <v xml:space="preserve"> - </v>
      </c>
      <c r="AC18" s="374" t="str">
        <f>IF(ISNUMBER(Datos!CZ18),Datos!CZ18," - ")</f>
        <v xml:space="preserve"> - </v>
      </c>
      <c r="AD18" s="374" t="str">
        <f>IF(ISNUMBER(Datos!DA18),Datos!DA18," - ")</f>
        <v xml:space="preserve"> - </v>
      </c>
      <c r="AE18" s="1527">
        <v>0</v>
      </c>
    </row>
    <row r="19" spans="1:31" ht="15">
      <c r="A19" s="1401">
        <f>ABS(Datos!AO19)</f>
        <v>0</v>
      </c>
      <c r="B19" s="1464" t="str">
        <f>Datos!A19</f>
        <v xml:space="preserve">Jdos. de Menores                                </v>
      </c>
      <c r="C19" s="239" t="str">
        <f t="shared" si="2"/>
        <v xml:space="preserve"> - </v>
      </c>
      <c r="D19" s="239" t="str">
        <f>IF(ISNUMBER(Datos!I19),Datos!I19," - ")</f>
        <v xml:space="preserve"> - </v>
      </c>
      <c r="E19" s="240" t="str">
        <f>IF(ISNUMBER(Datos!J19),Datos!J19," - ")</f>
        <v xml:space="preserve"> - </v>
      </c>
      <c r="F19" s="240" t="str">
        <f>IF(ISNUMBER(Datos!K19),Datos!K19," - ")</f>
        <v xml:space="preserve"> - </v>
      </c>
      <c r="G19" s="1392" t="str">
        <f>IF(Datos!E19&lt;&gt;"",Datos!E19,Datos!D19)</f>
        <v>07</v>
      </c>
      <c r="H19" s="241" t="str">
        <f>IF(ISNUMBER(Datos!L19),Datos!L19," - ")</f>
        <v xml:space="preserve"> - </v>
      </c>
      <c r="I19" s="1402" t="str">
        <f>IF(ISNUMBER(Datos!AS19/Datos!BM19),Datos!AS19/Datos!BM19," - ")</f>
        <v xml:space="preserve"> - </v>
      </c>
      <c r="J19" s="1403">
        <f>IF(ISNUMBER(Datos!BY19/Datos!CN19),Datos!BY19/Datos!CN19," - ")</f>
        <v>0</v>
      </c>
      <c r="K19" s="244" t="str">
        <f t="shared" si="3"/>
        <v xml:space="preserve"> - </v>
      </c>
      <c r="L19" s="1404" t="str">
        <f>IF(ISNUMBER(NºAsuntos!I19/NºAsuntos!G19),(NºAsuntos!I19/NºAsuntos!G19)*11," - ")</f>
        <v xml:space="preserve"> - </v>
      </c>
      <c r="M19" s="242" t="str">
        <f>IF(ISNUMBER(Datos!CL19),Datos!CL19," - ")</f>
        <v xml:space="preserve"> - </v>
      </c>
      <c r="N19" s="550">
        <f>Datos!CU19</f>
        <v>0</v>
      </c>
      <c r="O19" s="1393">
        <f>Datos!CT19</f>
        <v>0</v>
      </c>
      <c r="P19" s="1405" t="str">
        <f>IF(ISNUMBER((Datos!AS19/Datos!AQ19)),(Datos!AS19/Datos!AQ19)," - ")</f>
        <v xml:space="preserve"> - </v>
      </c>
      <c r="Q19" s="268" t="str">
        <f>IF(ISNUMBER(Datos!CQ19),Datos!CQ19," - ")</f>
        <v xml:space="preserve"> - </v>
      </c>
      <c r="R19" s="266" t="str">
        <f>IF(ISNUMBER((P19/Datos!CO19)*factor_trimestre),(P19/Datos!CO19)*factor_trimestre," - ")</f>
        <v xml:space="preserve"> - </v>
      </c>
      <c r="S19" s="397" t="str">
        <f>IF(ISNUMBER((Q19/Datos!CP19)*factor_trimestre),(Q19/Datos!CP19)*factor_trimestre," - ")</f>
        <v xml:space="preserve"> - </v>
      </c>
      <c r="T19" s="549">
        <f>Datos!ET19</f>
        <v>0</v>
      </c>
      <c r="U19" s="1534"/>
      <c r="V19" s="1539" t="str">
        <f>IF(U19="",IF(ISNUMBER(IF(ISNUMBER(S19),S19,0)/((Datos!EU19-Datos!ET19)/Datos!EU19)),IF(ISNUMBER(S19),S19,0)/((Datos!EU19-Datos!ET19)/Datos!EU19)," - "),IF(ISNUMBER(IF(ISNUMBER(S19),S19,0)/((Datos!EU19-U19)/Datos!EU19)),IF(ISNUMBER(S19),S19,0)/((Datos!EU19-U19)/Datos!EU19)))</f>
        <v xml:space="preserve"> - </v>
      </c>
      <c r="W19" s="549" t="str">
        <f>IF(ISNUMBER(Datos!CV19),Datos!CV19," - ")</f>
        <v xml:space="preserve"> - </v>
      </c>
      <c r="X19" s="549" t="str">
        <f>IF(ISNUMBER(Datos!DH19),Datos!DH19," - ")</f>
        <v xml:space="preserve"> - </v>
      </c>
      <c r="Y19" s="549" t="str">
        <f>IF(ISNUMBER(Datos!DI19),Datos!DI19," - ")</f>
        <v xml:space="preserve"> - </v>
      </c>
      <c r="Z19" s="375" t="str">
        <f>IF(ISNUMBER(Datos!DJ19),Datos!DJ19," - ")</f>
        <v xml:space="preserve"> - </v>
      </c>
      <c r="AA19" s="566" t="str">
        <f>IF(ISNUMBER(Datos!DG19),Datos!DG19," - ")</f>
        <v xml:space="preserve"> - </v>
      </c>
      <c r="AB19" s="374" t="str">
        <f>IF(ISNUMBER(Datos!CY19),Datos!CY19," - ")</f>
        <v xml:space="preserve"> - </v>
      </c>
      <c r="AC19" s="374" t="str">
        <f>IF(ISNUMBER(Datos!CZ19),Datos!CZ19," - ")</f>
        <v xml:space="preserve"> - </v>
      </c>
      <c r="AD19" s="374" t="str">
        <f>IF(ISNUMBER(Datos!DA19),Datos!DA19," - ")</f>
        <v xml:space="preserve"> - </v>
      </c>
      <c r="AE19" s="1527">
        <v>0</v>
      </c>
    </row>
    <row r="20" spans="1:31" ht="15">
      <c r="A20" s="1401">
        <f>ABS(Datos!AO20)</f>
        <v>0</v>
      </c>
      <c r="B20" s="1464" t="str">
        <f>Datos!A20</f>
        <v xml:space="preserve">Jdos. Vigilancia Penitenciaria                  </v>
      </c>
      <c r="C20" s="239" t="str">
        <f t="shared" si="2"/>
        <v xml:space="preserve"> - </v>
      </c>
      <c r="D20" s="239" t="str">
        <f>IF(ISNUMBER(Datos!I20),Datos!I20," - ")</f>
        <v xml:space="preserve"> - </v>
      </c>
      <c r="E20" s="240" t="str">
        <f>IF(ISNUMBER(Datos!J20),Datos!J20," - ")</f>
        <v xml:space="preserve"> - </v>
      </c>
      <c r="F20" s="240" t="str">
        <f>IF(ISNUMBER(Datos!K20),Datos!K20," - ")</f>
        <v xml:space="preserve"> - </v>
      </c>
      <c r="G20" s="1392" t="str">
        <f>IF(Datos!E20&lt;&gt;"",Datos!E20,Datos!D20)</f>
        <v>08</v>
      </c>
      <c r="H20" s="241" t="str">
        <f>IF(ISNUMBER(Datos!L20),Datos!L20," - ")</f>
        <v xml:space="preserve"> - </v>
      </c>
      <c r="I20" s="1402" t="str">
        <f>IF(ISNUMBER(Datos!AS20/Datos!BM20),Datos!AS20/Datos!BM20," - ")</f>
        <v xml:space="preserve"> - </v>
      </c>
      <c r="J20" s="1403">
        <f>IF(ISNUMBER(Datos!BY20/Datos!CN20),Datos!BY20/Datos!CN20," - ")</f>
        <v>0</v>
      </c>
      <c r="K20" s="244" t="str">
        <f t="shared" si="3"/>
        <v xml:space="preserve"> - </v>
      </c>
      <c r="L20" s="1404" t="str">
        <f>IF(ISNUMBER(NºAsuntos!I20/NºAsuntos!G20),(NºAsuntos!I20/NºAsuntos!G20)*11," - ")</f>
        <v xml:space="preserve"> - </v>
      </c>
      <c r="M20" s="242" t="str">
        <f>IF(ISNUMBER(Datos!CL20),Datos!CL20," - ")</f>
        <v xml:space="preserve"> - </v>
      </c>
      <c r="N20" s="550">
        <f>Datos!CU20</f>
        <v>0</v>
      </c>
      <c r="O20" s="1393">
        <f>Datos!CT20</f>
        <v>0</v>
      </c>
      <c r="P20" s="1405" t="str">
        <f>IF(ISNUMBER((Datos!AS20/Datos!AQ20)),(Datos!AS20/Datos!AQ20)," - ")</f>
        <v xml:space="preserve"> - </v>
      </c>
      <c r="Q20" s="268">
        <f>IF(ISNUMBER(Datos!CQ20+Datos!CR20),Datos!CQ20+Datos!CR20," - ")</f>
        <v>0</v>
      </c>
      <c r="R20" s="266" t="str">
        <f>IF(ISNUMBER((P20/Datos!CO20)*factor_trimestre),(P20/Datos!CO20)*factor_trimestre," - ")</f>
        <v xml:space="preserve"> - </v>
      </c>
      <c r="S20" s="397">
        <f>IF(ISNUMBER((Q20/Datos!CP20)*factor_trimestre),(Q20/Datos!CP20)*factor_trimestre," - ")</f>
        <v>0</v>
      </c>
      <c r="T20" s="549">
        <f>Datos!ET20</f>
        <v>0</v>
      </c>
      <c r="U20" s="1534"/>
      <c r="V20" s="1539" t="str">
        <f>IF(U20="",IF(ISNUMBER(IF(ISNUMBER(S20),S20,0)/((Datos!EU20-Datos!ET20)/Datos!EU20)),IF(ISNUMBER(S20),S20,0)/((Datos!EU20-Datos!ET20)/Datos!EU20)," - "),IF(ISNUMBER(IF(ISNUMBER(S20),S20,0)/((Datos!EU20-U20)/Datos!EU20)),IF(ISNUMBER(S20),S20,0)/((Datos!EU20-U20)/Datos!EU20)))</f>
        <v xml:space="preserve"> - </v>
      </c>
      <c r="W20" s="549" t="str">
        <f>IF(ISNUMBER(Datos!CV20),Datos!CV20," - ")</f>
        <v xml:space="preserve"> - </v>
      </c>
      <c r="X20" s="549" t="str">
        <f>IF(ISNUMBER(Datos!DH20),Datos!DH20," - ")</f>
        <v xml:space="preserve"> - </v>
      </c>
      <c r="Y20" s="549" t="str">
        <f>IF(ISNUMBER(Datos!DI20),Datos!DI20," - ")</f>
        <v xml:space="preserve"> - </v>
      </c>
      <c r="Z20" s="375" t="str">
        <f>IF(ISNUMBER(Datos!DJ20),Datos!DJ20," - ")</f>
        <v xml:space="preserve"> - </v>
      </c>
      <c r="AA20" s="566" t="str">
        <f>IF(ISNUMBER(Datos!DG20),Datos!DG20," - ")</f>
        <v xml:space="preserve"> - </v>
      </c>
      <c r="AB20" s="374" t="str">
        <f>IF(ISNUMBER(Datos!CY20),Datos!CY20," - ")</f>
        <v xml:space="preserve"> - </v>
      </c>
      <c r="AC20" s="374" t="str">
        <f>IF(ISNUMBER(Datos!CZ20),Datos!CZ20," - ")</f>
        <v xml:space="preserve"> - </v>
      </c>
      <c r="AD20" s="374" t="str">
        <f>IF(ISNUMBER(Datos!DA20),Datos!DA20," - ")</f>
        <v xml:space="preserve"> - </v>
      </c>
      <c r="AE20" s="1527">
        <v>0</v>
      </c>
    </row>
    <row r="21" spans="1:31" ht="15">
      <c r="A21" s="1401">
        <f>ABS(Datos!AO21)</f>
        <v>0</v>
      </c>
      <c r="B21" s="1464" t="str">
        <f>Datos!A21</f>
        <v xml:space="preserve">Jdos. de lo Penal                               </v>
      </c>
      <c r="C21" s="239" t="str">
        <f t="shared" si="2"/>
        <v xml:space="preserve"> - </v>
      </c>
      <c r="D21" s="239" t="str">
        <f>IF(ISNUMBER(Datos!I21),Datos!I21," - ")</f>
        <v xml:space="preserve"> - </v>
      </c>
      <c r="E21" s="240" t="str">
        <f>IF(ISNUMBER(Datos!J21),Datos!J21," - ")</f>
        <v xml:space="preserve"> - </v>
      </c>
      <c r="F21" s="240" t="str">
        <f>IF(ISNUMBER(Datos!K21),Datos!K21," - ")</f>
        <v xml:space="preserve"> - </v>
      </c>
      <c r="G21" s="1392" t="str">
        <f>IF(Datos!E21&lt;&gt;"",Datos!E21,Datos!D21)</f>
        <v>09</v>
      </c>
      <c r="H21" s="241" t="str">
        <f>IF(ISNUMBER(Datos!L21),Datos!L21," - ")</f>
        <v xml:space="preserve"> - </v>
      </c>
      <c r="I21" s="1402" t="str">
        <f>IF(ISNUMBER(Datos!AS21/Datos!BM21),Datos!AS21/Datos!BM21," - ")</f>
        <v xml:space="preserve"> - </v>
      </c>
      <c r="J21" s="1403" t="str">
        <f>IF(ISNUMBER(Datos!BY21/Datos!CN21),Datos!BY21/Datos!CN21," - ")</f>
        <v xml:space="preserve"> - </v>
      </c>
      <c r="K21" s="244" t="str">
        <f t="shared" si="3"/>
        <v xml:space="preserve"> - </v>
      </c>
      <c r="L21" s="1404" t="str">
        <f>IF(ISNUMBER(NºAsuntos!I21/NºAsuntos!G21),(NºAsuntos!I21/NºAsuntos!G21)*11," - ")</f>
        <v xml:space="preserve"> - </v>
      </c>
      <c r="M21" s="242" t="str">
        <f>IF(ISNUMBER(Datos!CL21),Datos!CL21," - ")</f>
        <v xml:space="preserve"> - </v>
      </c>
      <c r="N21" s="550">
        <f>Datos!CU21</f>
        <v>0</v>
      </c>
      <c r="O21" s="1393">
        <f>Datos!CT21</f>
        <v>0</v>
      </c>
      <c r="P21" s="1405" t="str">
        <f>IF(ISNUMBER((Datos!AS21/Datos!AQ21)),(Datos!AS21/Datos!AQ21)," - ")</f>
        <v xml:space="preserve"> - </v>
      </c>
      <c r="Q21" s="268" t="str">
        <f>IF(ISNUMBER(Datos!CQ21),Datos!CQ21," - ")</f>
        <v xml:space="preserve"> - </v>
      </c>
      <c r="R21" s="266" t="str">
        <f>IF(ISNUMBER((P21/Datos!CO21)*factor_trimestre),(P21/Datos!CO21)*factor_trimestre," - ")</f>
        <v xml:space="preserve"> - </v>
      </c>
      <c r="S21" s="397" t="str">
        <f>IF(ISNUMBER((Q21/Datos!CP21)*factor_trimestre),(Q21/Datos!CP21)*factor_trimestre," - ")</f>
        <v xml:space="preserve"> - </v>
      </c>
      <c r="T21" s="549">
        <f>Datos!ET21</f>
        <v>0</v>
      </c>
      <c r="U21" s="1534"/>
      <c r="V21" s="1539" t="str">
        <f>IF(U21="",IF(ISNUMBER(IF(ISNUMBER(S21),S21,0)/((Datos!EU21-Datos!ET21)/Datos!EU21)),IF(ISNUMBER(S21),S21,0)/((Datos!EU21-Datos!ET21)/Datos!EU21)," - "),IF(ISNUMBER(IF(ISNUMBER(S21),S21,0)/((Datos!EU21-U21)/Datos!EU21)),IF(ISNUMBER(S21),S21,0)/((Datos!EU21-U21)/Datos!EU21)))</f>
        <v xml:space="preserve"> - </v>
      </c>
      <c r="W21" s="549" t="str">
        <f>IF(ISNUMBER(Datos!CV21),Datos!CV21," - ")</f>
        <v xml:space="preserve"> - </v>
      </c>
      <c r="X21" s="549" t="str">
        <f>IF(ISNUMBER(Datos!DH21),Datos!DH21," - ")</f>
        <v xml:space="preserve"> - </v>
      </c>
      <c r="Y21" s="549" t="str">
        <f>IF(ISNUMBER(Datos!DI21),Datos!DI21," - ")</f>
        <v xml:space="preserve"> - </v>
      </c>
      <c r="Z21" s="375" t="str">
        <f>IF(ISNUMBER(Datos!DJ21),Datos!DJ21," - ")</f>
        <v xml:space="preserve"> - </v>
      </c>
      <c r="AA21" s="566" t="str">
        <f>IF(ISNUMBER(Datos!DG21),Datos!DG21," - ")</f>
        <v xml:space="preserve"> - </v>
      </c>
      <c r="AB21" s="374" t="str">
        <f>IF(ISNUMBER(Datos!CY21),Datos!CY21," - ")</f>
        <v xml:space="preserve"> - </v>
      </c>
      <c r="AC21" s="374" t="str">
        <f>IF(ISNUMBER(Datos!CZ21),Datos!CZ21," - ")</f>
        <v xml:space="preserve"> - </v>
      </c>
      <c r="AD21" s="374" t="str">
        <f>IF(ISNUMBER(Datos!DA21),Datos!DA21," - ")</f>
        <v xml:space="preserve"> - </v>
      </c>
      <c r="AE21" s="1527">
        <v>0</v>
      </c>
    </row>
    <row r="22" spans="1:31" ht="15">
      <c r="A22" s="1401">
        <f>ABS(Datos!AO22)</f>
        <v>0</v>
      </c>
      <c r="B22" s="1464" t="str">
        <f>Datos!A22</f>
        <v xml:space="preserve">Jdos. de lo Penal de Ejecutorias                </v>
      </c>
      <c r="C22" s="239" t="str">
        <f t="shared" si="2"/>
        <v xml:space="preserve"> - </v>
      </c>
      <c r="D22" s="239" t="str">
        <f>IF(ISNUMBER(Datos!I22),Datos!I22," - ")</f>
        <v xml:space="preserve"> - </v>
      </c>
      <c r="E22" s="240" t="str">
        <f>IF(ISNUMBER(Datos!J22),Datos!J22," - ")</f>
        <v xml:space="preserve"> - </v>
      </c>
      <c r="F22" s="240" t="str">
        <f>IF(ISNUMBER(Datos!K22),Datos!K22," - ")</f>
        <v xml:space="preserve"> - </v>
      </c>
      <c r="G22" s="1392">
        <f>IF(Datos!E22&lt;&gt;"",Datos!E22,Datos!D22)</f>
        <v>10</v>
      </c>
      <c r="H22" s="241" t="str">
        <f>IF(ISNUMBER(Datos!L22),Datos!L22," - ")</f>
        <v xml:space="preserve"> - </v>
      </c>
      <c r="I22" s="1402" t="str">
        <f>IF(ISNUMBER(Datos!AS22/Datos!BM22),Datos!AS22/Datos!BM22," - ")</f>
        <v xml:space="preserve"> - </v>
      </c>
      <c r="J22" s="1403">
        <f>IF(ISNUMBER(Datos!BY22/Datos!CN22),Datos!BY22/Datos!CN22," - ")</f>
        <v>0</v>
      </c>
      <c r="K22" s="244" t="str">
        <f t="shared" si="3"/>
        <v xml:space="preserve"> - </v>
      </c>
      <c r="L22" s="1404" t="str">
        <f>IF(ISNUMBER(NºAsuntos!I22/NºAsuntos!G22),(NºAsuntos!I22/NºAsuntos!G22)*11," - ")</f>
        <v xml:space="preserve"> - </v>
      </c>
      <c r="M22" s="242" t="str">
        <f>IF(ISNUMBER(Datos!CL22),Datos!CL22," - ")</f>
        <v xml:space="preserve"> - </v>
      </c>
      <c r="N22" s="550">
        <f>Datos!CU22</f>
        <v>0</v>
      </c>
      <c r="O22" s="1393">
        <f>Datos!CT22</f>
        <v>0</v>
      </c>
      <c r="P22" s="1405" t="str">
        <f>IF(ISNUMBER((Datos!AS22/Datos!AQ22)),(Datos!AS22/Datos!AQ22)," - ")</f>
        <v xml:space="preserve"> - </v>
      </c>
      <c r="Q22" s="268" t="str">
        <f>IF(ISNUMBER(Datos!CQ22),Datos!CQ22," - ")</f>
        <v xml:space="preserve"> - </v>
      </c>
      <c r="R22" s="266" t="str">
        <f>IF(ISNUMBER((P22/Datos!CO22)*factor_trimestre),(P22/Datos!CO22)*factor_trimestre," - ")</f>
        <v xml:space="preserve"> - </v>
      </c>
      <c r="S22" s="397" t="str">
        <f>IF(ISNUMBER((Q22/Datos!CP22)*factor_trimestre),(Q22/Datos!CP22)*factor_trimestre," - ")</f>
        <v xml:space="preserve"> - </v>
      </c>
      <c r="T22" s="549">
        <f>Datos!ET22</f>
        <v>0</v>
      </c>
      <c r="U22" s="1534"/>
      <c r="V22" s="1539" t="str">
        <f>IF(U22="",IF(ISNUMBER(IF(ISNUMBER(S22),S22,0)/((Datos!EU22-Datos!ET22)/Datos!EU22)),IF(ISNUMBER(S22),S22,0)/((Datos!EU22-Datos!ET22)/Datos!EU22)," - "),IF(ISNUMBER(IF(ISNUMBER(S22),S22,0)/((Datos!EU22-U22)/Datos!EU22)),IF(ISNUMBER(S22),S22,0)/((Datos!EU22-U22)/Datos!EU22)))</f>
        <v xml:space="preserve"> - </v>
      </c>
      <c r="W22" s="549" t="str">
        <f>IF(ISNUMBER(Datos!CV22),Datos!CV22," - ")</f>
        <v xml:space="preserve"> - </v>
      </c>
      <c r="X22" s="549" t="str">
        <f>IF(ISNUMBER(Datos!DH22),Datos!DH22," - ")</f>
        <v xml:space="preserve"> - </v>
      </c>
      <c r="Y22" s="549" t="str">
        <f>IF(ISNUMBER(Datos!DI22),Datos!DI22," - ")</f>
        <v xml:space="preserve"> - </v>
      </c>
      <c r="Z22" s="375" t="str">
        <f>IF(ISNUMBER(Datos!DJ22),Datos!DJ22," - ")</f>
        <v xml:space="preserve"> - </v>
      </c>
      <c r="AA22" s="566" t="str">
        <f>IF(ISNUMBER(Datos!DG22),Datos!DG22," - ")</f>
        <v xml:space="preserve"> - </v>
      </c>
      <c r="AB22" s="374" t="str">
        <f>IF(ISNUMBER(Datos!CY22),Datos!CY22," - ")</f>
        <v xml:space="preserve"> - </v>
      </c>
      <c r="AC22" s="374" t="str">
        <f>IF(ISNUMBER(Datos!CZ22),Datos!CZ22," - ")</f>
        <v xml:space="preserve"> - </v>
      </c>
      <c r="AD22" s="374" t="str">
        <f>IF(ISNUMBER(Datos!DA22),Datos!DA22," - ")</f>
        <v xml:space="preserve"> - </v>
      </c>
      <c r="AE22" s="1527">
        <v>0</v>
      </c>
    </row>
    <row r="23" spans="1:31" ht="15">
      <c r="A23" s="1408"/>
      <c r="B23" s="1465" t="str">
        <f>Datos!A23</f>
        <v>TOTAL</v>
      </c>
      <c r="C23" s="1409">
        <f>SUBTOTAL(9,C16:C22)</f>
        <v>6897</v>
      </c>
      <c r="D23" s="1409">
        <f>SUBTOTAL(9,D16:D22)</f>
        <v>6189</v>
      </c>
      <c r="E23" s="1410">
        <f>SUBTOTAL(9,E16:E22)</f>
        <v>75213</v>
      </c>
      <c r="F23" s="1410">
        <f>SUBTOTAL(9,F16:F22)</f>
        <v>76411</v>
      </c>
      <c r="G23" s="1412">
        <f ca="1">INDIRECT(CONCATENATE("G",ROW()-1))</f>
        <v>10</v>
      </c>
      <c r="H23" s="1413">
        <f ca="1">SUMIF(G$15:G22,G23,H$15:H22)</f>
        <v>0</v>
      </c>
      <c r="I23" s="1414"/>
      <c r="J23" s="1415"/>
      <c r="K23" s="1416"/>
      <c r="L23" s="1417"/>
      <c r="M23" s="1413">
        <f ca="1">SUMIF(G$15:G22,G23,M$15:M22)</f>
        <v>0</v>
      </c>
      <c r="N23" s="1417"/>
      <c r="O23" s="1413"/>
      <c r="P23" s="1418">
        <f ca="1">SUMIF(G$15:G22,G23,P$15:P22)</f>
        <v>0</v>
      </c>
      <c r="Q23" s="1419">
        <f ca="1">SUMIF(G$15:G22,G23,Q$15:Q22)</f>
        <v>0</v>
      </c>
      <c r="R23" s="1418">
        <f ca="1">SUMIF(G$15:G22,G23,R$15:R22)</f>
        <v>0</v>
      </c>
      <c r="S23" s="1420">
        <f ca="1">SUMIF(G$15:G22,G23,S$15:S22)</f>
        <v>0</v>
      </c>
      <c r="T23" s="1412"/>
      <c r="U23" s="1535"/>
      <c r="V23" s="1531">
        <f ca="1">SUMIF(G$15:G22,G23,V$15:V22)</f>
        <v>0</v>
      </c>
      <c r="W23" s="1421">
        <f ca="1">SUMIF($G$15:$G22,$G23,W$15:W22)</f>
        <v>0</v>
      </c>
      <c r="X23" s="1421">
        <f ca="1">SUMIF($G$15:$G22,$G23,X$15:X22)</f>
        <v>0</v>
      </c>
      <c r="Y23" s="1421">
        <f ca="1">SUMIF($G$15:$G22,$G23,Y$15:Y22)</f>
        <v>0</v>
      </c>
      <c r="Z23" s="1412">
        <f ca="1">SUMIF($G$15:$G22,$G23,Z$15:Z22)</f>
        <v>0</v>
      </c>
      <c r="AA23" s="1422">
        <f ca="1">SUMIF($G$15:$G22,$G23,AA$15:AA22)</f>
        <v>0</v>
      </c>
      <c r="AB23" s="1421">
        <f ca="1">SUMIF($G$15:$G22,$G23,AB$15:AB22)</f>
        <v>0</v>
      </c>
      <c r="AC23" s="1421">
        <f ca="1">SUMIF($G$15:$G22,$G23,AC$15:AC22)</f>
        <v>0</v>
      </c>
      <c r="AD23" s="1421">
        <f ca="1">SUMIF($G$15:$G22,$G23,AD$15:AD22)</f>
        <v>0</v>
      </c>
      <c r="AE23" s="1527"/>
    </row>
    <row r="24" spans="1:31" ht="15">
      <c r="A24" s="1714" t="str">
        <f>Datos!A24</f>
        <v xml:space="preserve">Jurisdicción Cont.-Admva.:                      </v>
      </c>
      <c r="B24" s="1715"/>
      <c r="C24" s="373"/>
      <c r="D24" s="373"/>
      <c r="E24" s="1424"/>
      <c r="F24" s="1424"/>
      <c r="G24" s="1424"/>
      <c r="H24" s="242"/>
      <c r="I24" s="373"/>
      <c r="J24" s="242"/>
      <c r="K24" s="1430"/>
      <c r="L24" s="1430"/>
      <c r="M24" s="242"/>
      <c r="N24" s="1430"/>
      <c r="O24" s="1431"/>
      <c r="P24" s="1432"/>
      <c r="Q24" s="1433"/>
      <c r="R24" s="1434"/>
      <c r="S24" s="1431"/>
      <c r="T24" s="1528"/>
      <c r="U24" s="1537"/>
      <c r="V24" s="1532"/>
      <c r="W24" s="1435"/>
      <c r="X24" s="1398"/>
      <c r="Y24" s="1398"/>
      <c r="Z24" s="1399"/>
      <c r="AA24" s="1406"/>
      <c r="AB24" s="690"/>
      <c r="AC24" s="690"/>
      <c r="AD24" s="1407"/>
      <c r="AE24" s="1527"/>
    </row>
    <row r="25" spans="1:31" ht="15">
      <c r="A25" s="1401">
        <f>ABS(Datos!AO25)</f>
        <v>0</v>
      </c>
      <c r="B25" s="1464" t="str">
        <f>Datos!A25</f>
        <v xml:space="preserve">Jdos Cont.-Admvo.                               </v>
      </c>
      <c r="C25" s="239" t="str">
        <f>IF(ISNUMBER(H25-E25+F25),H25-E25+F25," - ")</f>
        <v xml:space="preserve"> - </v>
      </c>
      <c r="D25" s="239" t="str">
        <f>IF(ISNUMBER(Datos!I25),Datos!I25," - ")</f>
        <v xml:space="preserve"> - </v>
      </c>
      <c r="E25" s="240" t="str">
        <f>IF(ISNUMBER(Datos!J25),Datos!J25," - ")</f>
        <v xml:space="preserve"> - </v>
      </c>
      <c r="F25" s="240" t="str">
        <f>IF(ISNUMBER(Datos!K25),Datos!K25," - ")</f>
        <v xml:space="preserve"> - </v>
      </c>
      <c r="G25" s="1392">
        <f>IF(Datos!E25&lt;&gt;"",Datos!E25,Datos!D25)</f>
        <v>30</v>
      </c>
      <c r="H25" s="241" t="str">
        <f>IF(ISNUMBER(Datos!L25),Datos!L25," - ")</f>
        <v xml:space="preserve"> - </v>
      </c>
      <c r="I25" s="1402" t="str">
        <f>IF(ISNUMBER(Datos!AS25/Datos!BM25),Datos!AS25/Datos!BM25," - ")</f>
        <v xml:space="preserve"> - </v>
      </c>
      <c r="J25" s="1403">
        <f>IF(ISNUMBER(Datos!BY25/Datos!CN25),Datos!BY25/Datos!CN25," - ")</f>
        <v>0</v>
      </c>
      <c r="K25" s="244" t="str">
        <f>IF(ISNUMBER((E25-F25)/C25),(E25-F25)/C25," - ")</f>
        <v xml:space="preserve"> - </v>
      </c>
      <c r="L25" s="1404" t="str">
        <f>IF(ISNUMBER(NºAsuntos!I25/NºAsuntos!G25),(NºAsuntos!I25/NºAsuntos!G25)*11," - ")</f>
        <v xml:space="preserve"> - </v>
      </c>
      <c r="M25" s="242" t="str">
        <f>IF(ISNUMBER(Datos!CL25),Datos!CL25," - ")</f>
        <v xml:space="preserve"> - </v>
      </c>
      <c r="N25" s="550">
        <f>Datos!CU25</f>
        <v>0</v>
      </c>
      <c r="O25" s="1393">
        <f>Datos!CT25</f>
        <v>0</v>
      </c>
      <c r="P25" s="1405" t="str">
        <f>IF(ISNUMBER((Datos!AS25/Datos!AQ25)),(Datos!AS25/Datos!AQ25)," - ")</f>
        <v xml:space="preserve"> - </v>
      </c>
      <c r="Q25" s="268" t="str">
        <f>IF(ISNUMBER(Datos!CQ25),Datos!CQ25," - ")</f>
        <v xml:space="preserve"> - </v>
      </c>
      <c r="R25" s="266" t="str">
        <f>IF(ISNUMBER((P25/Datos!CO25)*factor_trimestre),(P25/Datos!CO25)*factor_trimestre," - ")</f>
        <v xml:space="preserve"> - </v>
      </c>
      <c r="S25" s="397" t="str">
        <f>IF(ISNUMBER((Q25/Datos!CP25)*factor_trimestre),(Q25/Datos!CP25)*factor_trimestre," - ")</f>
        <v xml:space="preserve"> - </v>
      </c>
      <c r="T25" s="549">
        <f>Datos!ET25</f>
        <v>0</v>
      </c>
      <c r="U25" s="1534"/>
      <c r="V25" s="1539" t="str">
        <f>IF(U25="",IF(ISNUMBER(IF(ISNUMBER(S25),S25,0)/((Datos!EU25-Datos!ET25)/Datos!EU25)),IF(ISNUMBER(S25),S25,0)/((Datos!EU25-Datos!ET25)/Datos!EU25)," - "),IF(ISNUMBER(IF(ISNUMBER(S25),S25,0)/((Datos!EU25-U25)/Datos!EU25)),IF(ISNUMBER(S25),S25,0)/((Datos!EU25-U25)/Datos!EU25)))</f>
        <v xml:space="preserve"> - </v>
      </c>
      <c r="W25" s="549" t="str">
        <f>IF(ISNUMBER(Datos!CV25),Datos!CV25," - ")</f>
        <v xml:space="preserve"> - </v>
      </c>
      <c r="X25" s="549" t="str">
        <f>IF(ISNUMBER(Datos!DH25),Datos!DH25," - ")</f>
        <v xml:space="preserve"> - </v>
      </c>
      <c r="Y25" s="549" t="str">
        <f>IF(ISNUMBER(Datos!DI25),Datos!DI25," - ")</f>
        <v xml:space="preserve"> - </v>
      </c>
      <c r="Z25" s="375" t="str">
        <f>IF(ISNUMBER(Datos!DJ25),Datos!DJ25," - ")</f>
        <v xml:space="preserve"> - </v>
      </c>
      <c r="AA25" s="566" t="str">
        <f>IF(ISNUMBER(Datos!DG25),Datos!DG25," - ")</f>
        <v xml:space="preserve"> - </v>
      </c>
      <c r="AB25" s="374" t="str">
        <f>IF(ISNUMBER(Datos!CY25),Datos!CY25," - ")</f>
        <v xml:space="preserve"> - </v>
      </c>
      <c r="AC25" s="374" t="str">
        <f>IF(ISNUMBER(Datos!CZ25),Datos!CZ25," - ")</f>
        <v xml:space="preserve"> - </v>
      </c>
      <c r="AD25" s="374" t="str">
        <f>IF(ISNUMBER(Datos!DA25),Datos!DA25," - ")</f>
        <v xml:space="preserve"> - </v>
      </c>
      <c r="AE25" s="1527">
        <v>0</v>
      </c>
    </row>
    <row r="26" spans="1:31" ht="15">
      <c r="A26" s="1408"/>
      <c r="B26" s="1465" t="str">
        <f>Datos!A26</f>
        <v>TOTAL</v>
      </c>
      <c r="C26" s="1409">
        <f>SUBTOTAL(9,C25:C25)</f>
        <v>0</v>
      </c>
      <c r="D26" s="1409">
        <f>SUBTOTAL(9,D25:D25)</f>
        <v>0</v>
      </c>
      <c r="E26" s="1410">
        <f>SUBTOTAL(9,E25:E25)</f>
        <v>0</v>
      </c>
      <c r="F26" s="1410">
        <f>SUBTOTAL(9,F25:F25)</f>
        <v>0</v>
      </c>
      <c r="G26" s="1412">
        <f ca="1">INDIRECT(CONCATENATE("G",ROW()-1))</f>
        <v>30</v>
      </c>
      <c r="H26" s="1413">
        <f ca="1">SUMIF(G$24:G25,G26,H$24:H25)</f>
        <v>0</v>
      </c>
      <c r="I26" s="1414"/>
      <c r="J26" s="1415"/>
      <c r="K26" s="1416"/>
      <c r="L26" s="1417"/>
      <c r="M26" s="1413">
        <f ca="1">SUMIF(G$24:G25,G26,M$24:M25)</f>
        <v>0</v>
      </c>
      <c r="N26" s="1417"/>
      <c r="O26" s="1413"/>
      <c r="P26" s="1418">
        <f ca="1">SUMIF(G$24:G25,G26,P$24:P25)</f>
        <v>0</v>
      </c>
      <c r="Q26" s="1419">
        <f ca="1">SUMIF(G$24:G25,G26,Q$24:Q25)</f>
        <v>0</v>
      </c>
      <c r="R26" s="1418">
        <f ca="1">SUMIF(G$24:G25,G26,R$24:R25)</f>
        <v>0</v>
      </c>
      <c r="S26" s="1420">
        <f ca="1">SUMIF(G$24:G25,G26,S$24:S25)</f>
        <v>0</v>
      </c>
      <c r="T26" s="1412"/>
      <c r="U26" s="1535"/>
      <c r="V26" s="1531">
        <f ca="1">SUMIF(G$24:G25,G26,V$24:V25)</f>
        <v>0</v>
      </c>
      <c r="W26" s="1421">
        <f ca="1">SUMIF($G$24:$G25,$G26,W$24:W25)</f>
        <v>0</v>
      </c>
      <c r="X26" s="1421">
        <f ca="1">SUMIF($G$24:$G25,$G26,X$24:X25)</f>
        <v>0</v>
      </c>
      <c r="Y26" s="1421">
        <f ca="1">SUMIF($G$24:$G25,$G26,Y$24:Y25)</f>
        <v>0</v>
      </c>
      <c r="Z26" s="1412">
        <f ca="1">SUMIF($G$24:$G25,$G26,Z$24:Z25)</f>
        <v>0</v>
      </c>
      <c r="AA26" s="1422">
        <f ca="1">SUMIF($G$24:$G25,$G26,AA$24:AA25)</f>
        <v>0</v>
      </c>
      <c r="AB26" s="1421">
        <f ca="1">SUMIF($G$24:$G25,$G26,AB$24:AB25)</f>
        <v>0</v>
      </c>
      <c r="AC26" s="1421">
        <f ca="1">SUMIF($G$24:$G25,$G26,AC$24:AC25)</f>
        <v>0</v>
      </c>
      <c r="AD26" s="1423">
        <f ca="1">SUMIF($G$24:$G25,$G26,AD$24:AD25)</f>
        <v>0</v>
      </c>
      <c r="AE26" s="1527"/>
    </row>
    <row r="27" spans="1:31" ht="15">
      <c r="A27" s="1714" t="str">
        <f>Datos!A27</f>
        <v xml:space="preserve">Jurisdicción Social:                            </v>
      </c>
      <c r="B27" s="1715"/>
      <c r="C27" s="373"/>
      <c r="D27" s="373"/>
      <c r="E27" s="1424"/>
      <c r="F27" s="1424"/>
      <c r="G27" s="1424"/>
      <c r="H27" s="242"/>
      <c r="I27" s="373"/>
      <c r="J27" s="242"/>
      <c r="K27" s="244"/>
      <c r="L27" s="244"/>
      <c r="M27" s="242"/>
      <c r="N27" s="244"/>
      <c r="O27" s="1425"/>
      <c r="P27" s="1426"/>
      <c r="Q27" s="1427"/>
      <c r="R27" s="1428"/>
      <c r="S27" s="1425"/>
      <c r="T27" s="549"/>
      <c r="U27" s="1534"/>
      <c r="V27" s="1532"/>
      <c r="W27" s="1429"/>
      <c r="X27" s="1398"/>
      <c r="Y27" s="1398"/>
      <c r="Z27" s="1399"/>
      <c r="AA27" s="1406"/>
      <c r="AB27" s="690"/>
      <c r="AC27" s="690"/>
      <c r="AD27" s="1407"/>
      <c r="AE27" s="1527"/>
    </row>
    <row r="28" spans="1:31" ht="15">
      <c r="A28" s="1401">
        <f>ABS(Datos!AO28)</f>
        <v>0</v>
      </c>
      <c r="B28" s="1464" t="str">
        <f>Datos!A28</f>
        <v xml:space="preserve">Jdos. de lo Social                              </v>
      </c>
      <c r="C28" s="239" t="str">
        <f>IF(ISNUMBER(H28-E28+F28),H28-E28+F28," - ")</f>
        <v xml:space="preserve"> - </v>
      </c>
      <c r="D28" s="239" t="str">
        <f>IF(ISNUMBER(Datos!I28),Datos!I28," - ")</f>
        <v xml:space="preserve"> - </v>
      </c>
      <c r="E28" s="240" t="str">
        <f>IF(ISNUMBER(Datos!J28),Datos!J28," - ")</f>
        <v xml:space="preserve"> - </v>
      </c>
      <c r="F28" s="240" t="str">
        <f>IF(ISNUMBER(Datos!K28),Datos!K28," - ")</f>
        <v xml:space="preserve"> - </v>
      </c>
      <c r="G28" s="1392" t="str">
        <f>IF(Datos!E28&lt;&gt;"",Datos!E28,Datos!D28)</f>
        <v>05</v>
      </c>
      <c r="H28" s="241" t="str">
        <f>IF(ISNUMBER(Datos!L28),Datos!L28," - ")</f>
        <v xml:space="preserve"> - </v>
      </c>
      <c r="I28" s="1402" t="str">
        <f>IF(ISNUMBER(Datos!AS28/Datos!BM28),Datos!AS28/Datos!BM28," - ")</f>
        <v xml:space="preserve"> - </v>
      </c>
      <c r="J28" s="1403" t="str">
        <f>IF(ISNUMBER(Datos!BY28/Datos!CN28),Datos!BY28/Datos!CN28," - ")</f>
        <v xml:space="preserve"> - </v>
      </c>
      <c r="K28" s="244" t="str">
        <f>IF(ISNUMBER((E28-F28)/C28),(E28-F28)/C28," - ")</f>
        <v xml:space="preserve"> - </v>
      </c>
      <c r="L28" s="1404" t="str">
        <f>IF(ISNUMBER(NºAsuntos!I28/NºAsuntos!G28),(NºAsuntos!I28/NºAsuntos!G28)*11," - ")</f>
        <v xml:space="preserve"> - </v>
      </c>
      <c r="M28" s="242" t="str">
        <f>IF(ISNUMBER(Datos!CL28),Datos!CL28," - ")</f>
        <v xml:space="preserve"> - </v>
      </c>
      <c r="N28" s="550">
        <f>Datos!CU28</f>
        <v>0</v>
      </c>
      <c r="O28" s="1393">
        <f>Datos!CT28</f>
        <v>0</v>
      </c>
      <c r="P28" s="1405" t="str">
        <f>IF(ISNUMBER((Datos!AS28/Datos!AQ28)),(Datos!AS28/Datos!AQ28)," - ")</f>
        <v xml:space="preserve"> - </v>
      </c>
      <c r="Q28" s="268" t="str">
        <f>IF(ISNUMBER(Datos!CQ28),Datos!CQ28," - ")</f>
        <v xml:space="preserve"> - </v>
      </c>
      <c r="R28" s="266" t="str">
        <f>IF(ISNUMBER((P28/Datos!CO28)*factor_trimestre),(P28/Datos!CO28)*factor_trimestre," - ")</f>
        <v xml:space="preserve"> - </v>
      </c>
      <c r="S28" s="397" t="str">
        <f>IF(ISNUMBER((Q28/Datos!CP28)*factor_trimestre),(Q28/Datos!CP28)*factor_trimestre," - ")</f>
        <v xml:space="preserve"> - </v>
      </c>
      <c r="T28" s="549">
        <f>Datos!ET28</f>
        <v>0</v>
      </c>
      <c r="U28" s="1534"/>
      <c r="V28" s="1539" t="str">
        <f>IF(U28="",IF(ISNUMBER(IF(ISNUMBER(S28),S28,0)/((Datos!EU28-Datos!ET28)/Datos!EU28)),IF(ISNUMBER(S28),S28,0)/((Datos!EU28-Datos!ET28)/Datos!EU28)," - "),IF(ISNUMBER(IF(ISNUMBER(S28),S28,0)/((Datos!EU28-U28)/Datos!EU28)),IF(ISNUMBER(S28),S28,0)/((Datos!EU28-U28)/Datos!EU28)))</f>
        <v xml:space="preserve"> - </v>
      </c>
      <c r="W28" s="549" t="str">
        <f>IF(ISNUMBER(Datos!CV28),Datos!CV28," - ")</f>
        <v xml:space="preserve"> - </v>
      </c>
      <c r="X28" s="549" t="str">
        <f>IF(ISNUMBER(Datos!DH28),Datos!DH28," - ")</f>
        <v xml:space="preserve"> - </v>
      </c>
      <c r="Y28" s="549" t="str">
        <f>IF(ISNUMBER(Datos!DI28),Datos!DI28," - ")</f>
        <v xml:space="preserve"> - </v>
      </c>
      <c r="Z28" s="375" t="str">
        <f>IF(ISNUMBER(Datos!DJ28),Datos!DJ28," - ")</f>
        <v xml:space="preserve"> - </v>
      </c>
      <c r="AA28" s="566" t="str">
        <f>IF(ISNUMBER(Datos!DG28),Datos!DG28," - ")</f>
        <v xml:space="preserve"> - </v>
      </c>
      <c r="AB28" s="374" t="str">
        <f>IF(ISNUMBER(Datos!CY28),Datos!CY28," - ")</f>
        <v xml:space="preserve"> - </v>
      </c>
      <c r="AC28" s="374" t="str">
        <f>IF(ISNUMBER(Datos!CZ28),Datos!CZ28," - ")</f>
        <v xml:space="preserve"> - </v>
      </c>
      <c r="AD28" s="374" t="str">
        <f>IF(ISNUMBER(Datos!DA28),Datos!DA28," - ")</f>
        <v xml:space="preserve"> - </v>
      </c>
      <c r="AE28" s="1527">
        <v>0</v>
      </c>
    </row>
    <row r="29" spans="1:31" ht="15">
      <c r="A29" s="1401">
        <f>ABS(Datos!AO29)</f>
        <v>0</v>
      </c>
      <c r="B29" s="1464" t="str">
        <f>Datos!A29</f>
        <v>Jdos. De lo Social de Ejecuciones</v>
      </c>
      <c r="C29" s="239" t="str">
        <f>IF(ISNUMBER(H29-E29+F29),H29-E29+F29," - ")</f>
        <v xml:space="preserve"> - </v>
      </c>
      <c r="D29" s="239" t="str">
        <f>IF(ISNUMBER(Datos!I29),Datos!I29," - ")</f>
        <v xml:space="preserve"> - </v>
      </c>
      <c r="E29" s="240" t="str">
        <f>IF(ISNUMBER(Datos!J29),Datos!J29," - ")</f>
        <v xml:space="preserve"> - </v>
      </c>
      <c r="F29" s="240" t="str">
        <f>IF(ISNUMBER(Datos!K29),Datos!K29," - ")</f>
        <v xml:space="preserve"> - </v>
      </c>
      <c r="G29" s="1392" t="str">
        <f>IF(Datos!E29&lt;&gt;"",Datos!E29,Datos!D29)</f>
        <v>06</v>
      </c>
      <c r="H29" s="241" t="str">
        <f>IF(ISNUMBER(Datos!L29),Datos!L29," - ")</f>
        <v xml:space="preserve"> - </v>
      </c>
      <c r="I29" s="1402" t="str">
        <f>IF(ISNUMBER(Datos!AS29/Datos!BM29),Datos!AS29/Datos!BM29," - ")</f>
        <v xml:space="preserve"> - </v>
      </c>
      <c r="J29" s="1403">
        <f>IF(ISNUMBER(Datos!BY29/Datos!CN29),Datos!BY29/Datos!CN29," - ")</f>
        <v>0</v>
      </c>
      <c r="K29" s="244" t="str">
        <f>IF(ISNUMBER((E29-F29)/C29),(E29-F29)/C29," - ")</f>
        <v xml:space="preserve"> - </v>
      </c>
      <c r="L29" s="1404" t="str">
        <f>IF(ISNUMBER(NºAsuntos!I29/NºAsuntos!G29),(NºAsuntos!I29/NºAsuntos!G29)*11," - ")</f>
        <v xml:space="preserve"> - </v>
      </c>
      <c r="M29" s="242" t="str">
        <f>IF(ISNUMBER(Datos!CL29),Datos!CL29," - ")</f>
        <v xml:space="preserve"> - </v>
      </c>
      <c r="N29" s="550">
        <f>Datos!CU29</f>
        <v>0</v>
      </c>
      <c r="O29" s="1393">
        <f>Datos!CT29</f>
        <v>0</v>
      </c>
      <c r="P29" s="1405" t="str">
        <f>IF(ISNUMBER((Datos!AS29/Datos!AQ29)),(Datos!AS29/Datos!AQ29)," - ")</f>
        <v xml:space="preserve"> - </v>
      </c>
      <c r="Q29" s="268" t="str">
        <f>IF(ISNUMBER(Datos!CQ29),Datos!CQ29," - ")</f>
        <v xml:space="preserve"> - </v>
      </c>
      <c r="R29" s="266" t="str">
        <f>IF(ISNUMBER((P29/Datos!CO29)*factor_trimestre),(P29/Datos!CO29)*factor_trimestre," - ")</f>
        <v xml:space="preserve"> - </v>
      </c>
      <c r="S29" s="397" t="str">
        <f>IF(ISNUMBER((Q29/Datos!CP29)*factor_trimestre),(Q29/Datos!CP29)*factor_trimestre," - ")</f>
        <v xml:space="preserve"> - </v>
      </c>
      <c r="T29" s="549">
        <f>Datos!ET29</f>
        <v>0</v>
      </c>
      <c r="U29" s="1534"/>
      <c r="V29" s="1539" t="str">
        <f>IF(U29="",IF(ISNUMBER(IF(ISNUMBER(S29),S29,0)/((Datos!EU29-Datos!ET29)/Datos!EU29)),IF(ISNUMBER(S29),S29,0)/((Datos!EU29-Datos!ET29)/Datos!EU29)," - "),IF(ISNUMBER(IF(ISNUMBER(S29),S29,0)/((Datos!EU29-U29)/Datos!EU29)),IF(ISNUMBER(S29),S29,0)/((Datos!EU29-U29)/Datos!EU29)))</f>
        <v xml:space="preserve"> - </v>
      </c>
      <c r="W29" s="549" t="str">
        <f>IF(ISNUMBER(Datos!CV29),Datos!CV29," - ")</f>
        <v xml:space="preserve"> - </v>
      </c>
      <c r="X29" s="549" t="str">
        <f>IF(ISNUMBER(Datos!DH29),Datos!DH29," - ")</f>
        <v xml:space="preserve"> - </v>
      </c>
      <c r="Y29" s="549" t="str">
        <f>IF(ISNUMBER(Datos!DI29),Datos!DI29," - ")</f>
        <v xml:space="preserve"> - </v>
      </c>
      <c r="Z29" s="375" t="str">
        <f>IF(ISNUMBER(Datos!DJ29),Datos!DJ29," - ")</f>
        <v xml:space="preserve"> - </v>
      </c>
      <c r="AA29" s="566" t="str">
        <f>IF(ISNUMBER(Datos!DG29),Datos!DG29," - ")</f>
        <v xml:space="preserve"> - </v>
      </c>
      <c r="AB29" s="374" t="str">
        <f>IF(ISNUMBER(Datos!CY29),Datos!CY29," - ")</f>
        <v xml:space="preserve"> - </v>
      </c>
      <c r="AC29" s="374" t="str">
        <f>IF(ISNUMBER(Datos!CZ29),Datos!CZ29," - ")</f>
        <v xml:space="preserve"> - </v>
      </c>
      <c r="AD29" s="374" t="str">
        <f>IF(ISNUMBER(Datos!DA29),Datos!DA29," - ")</f>
        <v xml:space="preserve"> - </v>
      </c>
      <c r="AE29" s="1527">
        <v>0</v>
      </c>
    </row>
    <row r="30" spans="1:31" ht="15.75" thickBot="1">
      <c r="A30" s="1408"/>
      <c r="B30" s="1465" t="str">
        <f>Datos!A30</f>
        <v>TOTAL</v>
      </c>
      <c r="C30" s="1409">
        <f>SUBTOTAL(9,C28:C29)</f>
        <v>0</v>
      </c>
      <c r="D30" s="1409">
        <f>SUBTOTAL(9,D28:D29)</f>
        <v>0</v>
      </c>
      <c r="E30" s="1410">
        <f>SUBTOTAL(9,E28:E29)</f>
        <v>0</v>
      </c>
      <c r="F30" s="1410">
        <f>SUBTOTAL(9,F28:F29)</f>
        <v>0</v>
      </c>
      <c r="G30" s="1412" t="str">
        <f ca="1">INDIRECT(CONCATENATE("G",ROW()-1))</f>
        <v>06</v>
      </c>
      <c r="H30" s="1413">
        <f ca="1">SUMIF(G$27:G29,G30,H$27:H29)</f>
        <v>0</v>
      </c>
      <c r="I30" s="1414"/>
      <c r="J30" s="1415"/>
      <c r="K30" s="1416"/>
      <c r="L30" s="1417"/>
      <c r="M30" s="1413">
        <f ca="1">SUMIF(G$27:G29,G30,M$27:M29)</f>
        <v>0</v>
      </c>
      <c r="N30" s="1417"/>
      <c r="O30" s="1413"/>
      <c r="P30" s="1418">
        <f ca="1">SUMIF(G$27:G29,G30,P$27:P29)</f>
        <v>0</v>
      </c>
      <c r="Q30" s="1419">
        <f ca="1">SUMIF(G$27:G29,G30,Q$27:Q29)</f>
        <v>0</v>
      </c>
      <c r="R30" s="1418">
        <f ca="1">SUMIF(G$27:G29,G30,R$27:R29)</f>
        <v>0</v>
      </c>
      <c r="S30" s="1420">
        <f ca="1">SUMIF(G$27:G29,G30,S$27:S29)</f>
        <v>0</v>
      </c>
      <c r="T30" s="1412"/>
      <c r="U30" s="1535"/>
      <c r="V30" s="1531">
        <f ca="1">SUMIF(G$27:G29,G30,V$27:V29)</f>
        <v>0</v>
      </c>
      <c r="W30" s="1421">
        <f ca="1">SUMIF($G$27:$G29,$G30,W$27:W29)</f>
        <v>0</v>
      </c>
      <c r="X30" s="1421">
        <f ca="1">SUMIF($G$27:$G29,$G30,X$27:X29)</f>
        <v>0</v>
      </c>
      <c r="Y30" s="1421">
        <f ca="1">SUMIF($G$27:$G29,$G30,Y$27:Y29)</f>
        <v>0</v>
      </c>
      <c r="Z30" s="1412">
        <f ca="1">SUMIF($G$27:$G29,$G30,Z$27:Z29)</f>
        <v>0</v>
      </c>
      <c r="AA30" s="1422">
        <f ca="1">SUMIF($G$27:$G29,$G30,AA$27:AA29)</f>
        <v>0</v>
      </c>
      <c r="AB30" s="1421">
        <f ca="1">SUMIF($G$27:$G29,$G30,AB$27:AB29)</f>
        <v>0</v>
      </c>
      <c r="AC30" s="1421">
        <f ca="1">SUMIF($G$27:$G29,$G30,AC$27:AC29)</f>
        <v>0</v>
      </c>
      <c r="AD30" s="1423">
        <f ca="1">SUMIF($G$27:$G29,$G30,AD$27:AD29)</f>
        <v>0</v>
      </c>
      <c r="AE30" s="1527"/>
    </row>
    <row r="31" spans="1:31" ht="18.75" customHeight="1" thickTop="1" thickBot="1">
      <c r="A31" s="1436"/>
      <c r="B31" s="1466" t="str">
        <f>Datos!A31</f>
        <v>TOTAL JURISDICCIONES</v>
      </c>
      <c r="C31" s="1437">
        <f>SUBTOTAL(9,C9:C30)</f>
        <v>7162</v>
      </c>
      <c r="D31" s="1437">
        <f>SUBTOTAL(9,D9:D30)</f>
        <v>6449</v>
      </c>
      <c r="E31" s="1438">
        <f>SUBTOTAL(9,E9:E30)</f>
        <v>75684</v>
      </c>
      <c r="F31" s="1438">
        <f>SUBTOTAL(9,F9:F30)</f>
        <v>76943</v>
      </c>
      <c r="G31" s="1439"/>
      <c r="H31" s="1440">
        <f ca="1">SUMIF(B9:B30,"TOTAL",H9:H30)</f>
        <v>0</v>
      </c>
      <c r="I31" s="1441"/>
      <c r="J31" s="1442"/>
      <c r="K31" s="1443"/>
      <c r="L31" s="1444"/>
      <c r="M31" s="1445">
        <f ca="1">SUMIF(B9:B30,"TOTAL",M9:M30)</f>
        <v>0</v>
      </c>
      <c r="N31" s="1444"/>
      <c r="O31" s="1445"/>
      <c r="P31" s="1445"/>
      <c r="Q31" s="1445"/>
      <c r="R31" s="1446">
        <f ca="1">SUMIF(B9:B30,"TOTAL",R9:R30)</f>
        <v>0</v>
      </c>
      <c r="S31" s="1447">
        <f ca="1">SUMIF(B9:B30,"TOTAL",S9:S30)</f>
        <v>0</v>
      </c>
      <c r="T31" s="1449"/>
      <c r="U31" s="1538"/>
      <c r="V31" s="1533">
        <f ca="1">SUMIF(B9:B30,"TOTAL",V9:V30)</f>
        <v>0</v>
      </c>
      <c r="W31" s="1448">
        <f t="shared" ref="W31:AD31" ca="1" si="4">SUMIF($B9:$B30,"TOTAL",W9:W30)</f>
        <v>0</v>
      </c>
      <c r="X31" s="1448">
        <f t="shared" ca="1" si="4"/>
        <v>0</v>
      </c>
      <c r="Y31" s="1448">
        <f t="shared" ca="1" si="4"/>
        <v>0</v>
      </c>
      <c r="Z31" s="1449">
        <f t="shared" ca="1" si="4"/>
        <v>0</v>
      </c>
      <c r="AA31" s="1448">
        <f t="shared" ca="1" si="4"/>
        <v>0</v>
      </c>
      <c r="AB31" s="1448">
        <f t="shared" ca="1" si="4"/>
        <v>0</v>
      </c>
      <c r="AC31" s="1448">
        <f t="shared" ca="1" si="4"/>
        <v>0</v>
      </c>
      <c r="AD31" s="1450">
        <f t="shared" ca="1" si="4"/>
        <v>0</v>
      </c>
    </row>
    <row r="32" spans="1:31" ht="12" customHeight="1" thickTop="1">
      <c r="B32" s="76"/>
    </row>
    <row r="33" spans="2:29" ht="12.75" customHeight="1">
      <c r="B33" s="1467"/>
      <c r="C33" s="1386"/>
      <c r="D33" s="1386"/>
      <c r="E33" s="1387"/>
      <c r="F33" s="1386"/>
      <c r="G33" s="1386"/>
      <c r="H33" s="1386"/>
      <c r="I33" s="1386"/>
      <c r="J33" s="1386"/>
      <c r="K33" s="1387"/>
      <c r="L33" s="1387"/>
      <c r="M33" s="1387"/>
      <c r="N33" s="1387"/>
      <c r="O33" s="1387"/>
      <c r="P33" s="1387"/>
      <c r="Q33" s="1387"/>
    </row>
    <row r="34" spans="2:29" ht="12.75" customHeight="1">
      <c r="B34" s="537" t="str">
        <f>Criterios!A4</f>
        <v>Fecha Informe: 05 abr. 2022</v>
      </c>
      <c r="C34" s="1386"/>
      <c r="D34" s="1386"/>
      <c r="E34" s="1387"/>
      <c r="F34" s="1386"/>
      <c r="G34" s="1386"/>
      <c r="H34" s="1386"/>
      <c r="I34" s="1386"/>
      <c r="J34" s="1386"/>
      <c r="K34" s="1387"/>
      <c r="L34" s="1387"/>
      <c r="M34" s="1387"/>
      <c r="N34" s="1387"/>
      <c r="O34" s="1387"/>
      <c r="P34" s="1387"/>
      <c r="Q34" s="1387"/>
    </row>
    <row r="35" spans="2:29" ht="12.75" customHeight="1">
      <c r="B35" s="1467"/>
      <c r="C35" s="1386"/>
      <c r="D35" s="1386"/>
      <c r="E35" s="1386"/>
      <c r="F35" s="1386"/>
      <c r="G35" s="1386"/>
      <c r="H35" s="1386"/>
      <c r="I35" s="1386"/>
      <c r="J35" s="1386"/>
      <c r="K35" s="1386"/>
      <c r="L35" s="1386"/>
      <c r="M35" s="1386"/>
      <c r="N35" s="1386"/>
      <c r="O35" s="1386"/>
      <c r="P35" s="1386"/>
      <c r="Q35" s="1386"/>
    </row>
    <row r="36" spans="2:29" ht="12.75" customHeight="1">
      <c r="B36" s="1467"/>
      <c r="C36" s="1386"/>
      <c r="D36" s="1386"/>
      <c r="E36" s="1386"/>
      <c r="F36" s="1386"/>
      <c r="G36" s="1386"/>
      <c r="H36" s="1386"/>
      <c r="I36" s="1386"/>
      <c r="J36" s="1386"/>
      <c r="K36" s="1386"/>
      <c r="L36" s="1386"/>
      <c r="M36" s="1386"/>
      <c r="N36" s="1386"/>
      <c r="O36" s="1386"/>
      <c r="P36" s="1386"/>
      <c r="Q36" s="1386"/>
    </row>
    <row r="37" spans="2:29">
      <c r="B37" s="649"/>
      <c r="N37" s="1685" t="s">
        <v>847</v>
      </c>
      <c r="O37" s="1685"/>
      <c r="P37" s="1685"/>
      <c r="Q37" s="1685"/>
      <c r="R37" s="1685"/>
      <c r="S37" s="1685"/>
      <c r="T37" s="1685"/>
      <c r="U37" s="1685"/>
      <c r="V37" s="1685"/>
      <c r="W37" s="1685"/>
      <c r="Y37" s="1685" t="s">
        <v>848</v>
      </c>
      <c r="Z37" s="1685"/>
      <c r="AA37" s="1685"/>
      <c r="AB37" s="1685"/>
      <c r="AC37" s="1685"/>
    </row>
    <row r="39" spans="2:29">
      <c r="N39" s="1388" t="s">
        <v>849</v>
      </c>
      <c r="O39" s="1680" t="s">
        <v>850</v>
      </c>
      <c r="P39" s="1680"/>
      <c r="Q39" s="1680"/>
      <c r="R39" s="1680"/>
      <c r="S39" s="1680"/>
      <c r="T39" s="1680"/>
      <c r="U39" s="1680"/>
      <c r="V39" s="1680"/>
      <c r="W39" s="1680"/>
      <c r="Y39" s="1388" t="s">
        <v>849</v>
      </c>
      <c r="Z39" s="1683" t="s">
        <v>851</v>
      </c>
      <c r="AA39" s="1683"/>
      <c r="AB39" s="1683"/>
      <c r="AC39" s="1683"/>
    </row>
    <row r="40" spans="2:29">
      <c r="N40" s="1388" t="s">
        <v>852</v>
      </c>
      <c r="O40" s="1680" t="s">
        <v>853</v>
      </c>
      <c r="P40" s="1680"/>
      <c r="Q40" s="1680"/>
      <c r="R40" s="1680"/>
      <c r="S40" s="1680"/>
      <c r="T40" s="1680"/>
      <c r="U40" s="1680"/>
      <c r="V40" s="1680"/>
      <c r="W40" s="1680"/>
      <c r="Y40" s="1388" t="s">
        <v>852</v>
      </c>
      <c r="Z40" s="1683" t="s">
        <v>854</v>
      </c>
      <c r="AA40" s="1683"/>
      <c r="AB40" s="1683"/>
      <c r="AC40" s="1683"/>
    </row>
    <row r="41" spans="2:29">
      <c r="N41" s="1388" t="s">
        <v>855</v>
      </c>
      <c r="O41" s="1680" t="s">
        <v>856</v>
      </c>
      <c r="P41" s="1680"/>
      <c r="Q41" s="1680"/>
      <c r="R41" s="1680"/>
      <c r="S41" s="1680"/>
      <c r="T41" s="1680"/>
      <c r="U41" s="1680"/>
      <c r="V41" s="1680"/>
      <c r="W41" s="1680"/>
      <c r="Y41" s="1388" t="s">
        <v>857</v>
      </c>
      <c r="Z41" s="1683" t="s">
        <v>858</v>
      </c>
      <c r="AA41" s="1683"/>
      <c r="AB41" s="1683"/>
      <c r="AC41" s="1683"/>
    </row>
    <row r="42" spans="2:29">
      <c r="N42" s="1388" t="s">
        <v>859</v>
      </c>
      <c r="O42" s="1680" t="s">
        <v>860</v>
      </c>
      <c r="P42" s="1680"/>
      <c r="Q42" s="1680"/>
      <c r="R42" s="1680"/>
      <c r="S42" s="1680"/>
      <c r="T42" s="1680"/>
      <c r="U42" s="1680"/>
      <c r="V42" s="1680"/>
      <c r="W42" s="1680"/>
      <c r="Y42" s="1388" t="s">
        <v>861</v>
      </c>
      <c r="Z42" s="1683" t="s">
        <v>862</v>
      </c>
      <c r="AA42" s="1683"/>
      <c r="AB42" s="1683"/>
      <c r="AC42" s="1683"/>
    </row>
    <row r="43" spans="2:29">
      <c r="N43" s="1388" t="s">
        <v>949</v>
      </c>
      <c r="O43" s="1680" t="s">
        <v>950</v>
      </c>
      <c r="P43" s="1680"/>
      <c r="Q43" s="1680"/>
      <c r="R43" s="1680"/>
      <c r="S43" s="1680"/>
      <c r="T43" s="1680"/>
      <c r="U43" s="1680"/>
      <c r="V43" s="1680"/>
      <c r="W43" s="1680"/>
      <c r="Y43" s="1388" t="s">
        <v>855</v>
      </c>
      <c r="Z43" s="1683" t="s">
        <v>856</v>
      </c>
      <c r="AA43" s="1683"/>
      <c r="AB43" s="1683"/>
      <c r="AC43" s="1683"/>
    </row>
    <row r="44" spans="2:29">
      <c r="N44" s="1388" t="s">
        <v>863</v>
      </c>
      <c r="O44" s="1680" t="s">
        <v>864</v>
      </c>
      <c r="P44" s="1680"/>
      <c r="Q44" s="1680"/>
      <c r="R44" s="1680"/>
      <c r="S44" s="1680"/>
      <c r="T44" s="1680"/>
      <c r="U44" s="1680"/>
      <c r="V44" s="1680"/>
      <c r="W44" s="1680"/>
      <c r="Y44" s="1388" t="s">
        <v>859</v>
      </c>
      <c r="Z44" s="1683" t="s">
        <v>860</v>
      </c>
      <c r="AA44" s="1683"/>
      <c r="AB44" s="1683"/>
      <c r="AC44" s="1683"/>
    </row>
    <row r="45" spans="2:29">
      <c r="N45" s="1388" t="s">
        <v>865</v>
      </c>
      <c r="O45" s="1680" t="s">
        <v>866</v>
      </c>
      <c r="P45" s="1680"/>
      <c r="Q45" s="1680"/>
      <c r="R45" s="1680"/>
      <c r="S45" s="1680"/>
      <c r="T45" s="1680"/>
      <c r="U45" s="1680"/>
      <c r="V45" s="1680"/>
      <c r="W45" s="1680"/>
      <c r="Y45" s="1388" t="s">
        <v>868</v>
      </c>
      <c r="Z45" s="1683" t="s">
        <v>869</v>
      </c>
      <c r="AA45" s="1683"/>
      <c r="AB45" s="1683"/>
      <c r="AC45" s="1683"/>
    </row>
    <row r="46" spans="2:29">
      <c r="N46" s="1388" t="s">
        <v>857</v>
      </c>
      <c r="O46" s="1680" t="s">
        <v>867</v>
      </c>
      <c r="P46" s="1680"/>
      <c r="Q46" s="1680"/>
      <c r="R46" s="1680"/>
      <c r="S46" s="1680"/>
      <c r="T46" s="1680"/>
      <c r="U46" s="1680"/>
      <c r="V46" s="1680"/>
      <c r="W46" s="1680"/>
      <c r="Y46" s="1388" t="s">
        <v>871</v>
      </c>
      <c r="Z46" s="1683" t="s">
        <v>872</v>
      </c>
      <c r="AA46" s="1683"/>
      <c r="AB46" s="1683"/>
      <c r="AC46" s="1683"/>
    </row>
    <row r="47" spans="2:29">
      <c r="N47" s="1388" t="s">
        <v>861</v>
      </c>
      <c r="O47" s="1680" t="s">
        <v>870</v>
      </c>
      <c r="P47" s="1680"/>
      <c r="Q47" s="1680"/>
      <c r="R47" s="1680"/>
      <c r="S47" s="1680"/>
      <c r="T47" s="1680"/>
      <c r="U47" s="1680"/>
      <c r="V47" s="1680"/>
      <c r="W47" s="1680"/>
      <c r="Y47" s="1389" t="s">
        <v>874</v>
      </c>
      <c r="Z47" s="1681" t="s">
        <v>875</v>
      </c>
      <c r="AA47" s="1681"/>
      <c r="AB47" s="1681"/>
      <c r="AC47" s="1681"/>
    </row>
    <row r="48" spans="2:29">
      <c r="N48" s="1388" t="s">
        <v>868</v>
      </c>
      <c r="O48" s="1680" t="s">
        <v>873</v>
      </c>
      <c r="P48" s="1680"/>
      <c r="Q48" s="1680"/>
      <c r="R48" s="1680"/>
      <c r="S48" s="1680"/>
      <c r="T48" s="1680"/>
      <c r="U48" s="1680"/>
      <c r="V48" s="1680"/>
      <c r="W48" s="1680"/>
      <c r="Y48" s="1388" t="s">
        <v>863</v>
      </c>
      <c r="Z48" s="1683" t="s">
        <v>864</v>
      </c>
      <c r="AA48" s="1683"/>
      <c r="AB48" s="1683"/>
      <c r="AC48" s="1683"/>
    </row>
    <row r="49" spans="14:29">
      <c r="N49" s="1388" t="s">
        <v>876</v>
      </c>
      <c r="O49" s="1680" t="s">
        <v>877</v>
      </c>
      <c r="P49" s="1680"/>
      <c r="Q49" s="1680"/>
      <c r="R49" s="1680"/>
      <c r="S49" s="1680"/>
      <c r="T49" s="1680"/>
      <c r="U49" s="1680"/>
      <c r="V49" s="1680"/>
      <c r="W49" s="1680"/>
      <c r="Y49" s="1390" t="s">
        <v>865</v>
      </c>
      <c r="Z49" s="1684" t="s">
        <v>866</v>
      </c>
      <c r="AA49" s="1684"/>
      <c r="AB49" s="1684"/>
      <c r="AC49" s="1684"/>
    </row>
    <row r="50" spans="14:29">
      <c r="N50" s="1388" t="s">
        <v>871</v>
      </c>
      <c r="O50" s="1680" t="s">
        <v>878</v>
      </c>
      <c r="P50" s="1680"/>
      <c r="Q50" s="1680"/>
      <c r="R50" s="1680"/>
      <c r="S50" s="1680"/>
      <c r="T50" s="1680"/>
      <c r="U50" s="1680"/>
      <c r="V50" s="1680"/>
      <c r="W50" s="1680"/>
    </row>
    <row r="51" spans="14:29">
      <c r="N51" s="1390" t="s">
        <v>874</v>
      </c>
      <c r="O51" s="1682" t="s">
        <v>879</v>
      </c>
      <c r="P51" s="1682"/>
      <c r="Q51" s="1682"/>
      <c r="R51" s="1682"/>
      <c r="S51" s="1682"/>
      <c r="T51" s="1682"/>
      <c r="U51" s="1682"/>
      <c r="V51" s="1682"/>
      <c r="W51" s="1682"/>
    </row>
  </sheetData>
  <sheetProtection algorithmName="SHA-512" hashValue="LPfw6jUGwlly3TUZNENIOAAQaWsz/Fj075TFon9sguBbzvbgQN1ttVRj+j1WNNqjM7hw+4TrC3czXEYSz9hSBg==" saltValue="2i8XlIeSf0kzPYUZws3mng==" spinCount="100000" sheet="1" objects="1" scenarios="1"/>
  <mergeCells count="50">
    <mergeCell ref="A27:B27"/>
    <mergeCell ref="C5:C7"/>
    <mergeCell ref="D5:D7"/>
    <mergeCell ref="L5:L7"/>
    <mergeCell ref="E5:E7"/>
    <mergeCell ref="F5:F7"/>
    <mergeCell ref="G5:G7"/>
    <mergeCell ref="I5:I7"/>
    <mergeCell ref="K5:K7"/>
    <mergeCell ref="A5:A7"/>
    <mergeCell ref="B5:B6"/>
    <mergeCell ref="A15:B15"/>
    <mergeCell ref="A8:B8"/>
    <mergeCell ref="A24:B24"/>
    <mergeCell ref="N5:O6"/>
    <mergeCell ref="Q5:S6"/>
    <mergeCell ref="W5:Z6"/>
    <mergeCell ref="AA5:AD6"/>
    <mergeCell ref="H4:L4"/>
    <mergeCell ref="N4:AD4"/>
    <mergeCell ref="H5:H7"/>
    <mergeCell ref="M5:M7"/>
    <mergeCell ref="J5:J7"/>
    <mergeCell ref="T5:V6"/>
    <mergeCell ref="N37:W37"/>
    <mergeCell ref="Y37:AC37"/>
    <mergeCell ref="O39:W39"/>
    <mergeCell ref="Z39:AC39"/>
    <mergeCell ref="O40:W40"/>
    <mergeCell ref="Z40:AC40"/>
    <mergeCell ref="O41:W41"/>
    <mergeCell ref="Z41:AC41"/>
    <mergeCell ref="O42:W42"/>
    <mergeCell ref="Z42:AC42"/>
    <mergeCell ref="O44:W44"/>
    <mergeCell ref="Z43:AC43"/>
    <mergeCell ref="O43:W43"/>
    <mergeCell ref="Z44:AC44"/>
    <mergeCell ref="O45:W45"/>
    <mergeCell ref="O46:W46"/>
    <mergeCell ref="Z45:AC45"/>
    <mergeCell ref="O47:W47"/>
    <mergeCell ref="Z46:AC46"/>
    <mergeCell ref="O48:W48"/>
    <mergeCell ref="Z47:AC47"/>
    <mergeCell ref="O49:W49"/>
    <mergeCell ref="O50:W50"/>
    <mergeCell ref="O51:W51"/>
    <mergeCell ref="Z48:AC48"/>
    <mergeCell ref="Z49:AC49"/>
  </mergeCells>
  <phoneticPr fontId="0" type="noConversion"/>
  <conditionalFormatting sqref="D28:D29 D25 D10:D13 D16:D22">
    <cfRule type="cellIs" dxfId="2870" priority="92" stopIfTrue="1" operator="between">
      <formula>$D$35</formula>
      <formula>$D$36</formula>
    </cfRule>
  </conditionalFormatting>
  <conditionalFormatting sqref="E25 E28:E29 E9:E13 E16:E22">
    <cfRule type="cellIs" dxfId="2869" priority="99" stopIfTrue="1" operator="notBetween">
      <formula>$E$35</formula>
      <formula>$E$36</formula>
    </cfRule>
  </conditionalFormatting>
  <conditionalFormatting sqref="F9:F13 F25 F28:F29 F16:F22">
    <cfRule type="cellIs" dxfId="2868" priority="105" stopIfTrue="1" operator="notBetween">
      <formula>$F$35</formula>
      <formula>$F$36</formula>
    </cfRule>
  </conditionalFormatting>
  <conditionalFormatting sqref="C25 C28:C29 C10:C13 C16:C22">
    <cfRule type="cellIs" dxfId="2867" priority="111" stopIfTrue="1" operator="notBetween">
      <formula>$C$35</formula>
      <formula>$C$36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3" sqref="B13"/>
    </sheetView>
  </sheetViews>
  <sheetFormatPr baseColWidth="10" defaultRowHeight="12.75"/>
  <cols>
    <col min="1" max="1" width="31.42578125" customWidth="1"/>
    <col min="2" max="2" width="105.140625" customWidth="1"/>
    <col min="3" max="3" width="107.140625" customWidth="1"/>
  </cols>
  <sheetData>
    <row r="8" spans="2:2">
      <c r="B8" s="1117" t="s">
        <v>544</v>
      </c>
    </row>
    <row r="9" spans="2:2">
      <c r="B9" s="531"/>
    </row>
    <row r="10" spans="2:2">
      <c r="B10" s="525"/>
    </row>
    <row r="11" spans="2:2" ht="25.5">
      <c r="B11" s="526" t="s">
        <v>545</v>
      </c>
    </row>
    <row r="12" spans="2:2">
      <c r="B12" s="527"/>
    </row>
    <row r="13" spans="2:2" ht="89.25">
      <c r="B13" s="1540" t="s">
        <v>1157</v>
      </c>
    </row>
    <row r="14" spans="2:2">
      <c r="B14" s="527"/>
    </row>
    <row r="15" spans="2:2" ht="51">
      <c r="B15" s="527" t="s">
        <v>546</v>
      </c>
    </row>
    <row r="16" spans="2:2">
      <c r="B16" s="527"/>
    </row>
    <row r="17" spans="2:2" ht="51">
      <c r="B17" s="528" t="s">
        <v>547</v>
      </c>
    </row>
  </sheetData>
  <sheetProtection algorithmName="SHA-512" hashValue="ByYyZbsZn/VSL35lHWNuxV5NcWwWhx5l7MCzGt/7BM9lNGNZmXlAuEgH0ITC/yt9iHIkAfSheCL3IMFVvVVFLg==" saltValue="3ksHln9l4Fn27OxcHR2s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U39"/>
  <sheetViews>
    <sheetView zoomScale="85" zoomScaleNormal="85" workbookViewId="0">
      <pane xSplit="1" topLeftCell="BI1" activePane="topRight" state="frozen"/>
      <selection pane="topRight" activeCell="BI9" sqref="BI9"/>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41"/>
    <col min="126" max="141" width="11.42578125" style="8"/>
    <col min="142" max="144" width="11.42578125" style="853"/>
    <col min="145" max="149" width="11.42578125" style="8"/>
    <col min="150" max="151" width="11.42578125" style="853"/>
    <col min="152" max="16384" width="11.42578125" style="8"/>
  </cols>
  <sheetData>
    <row r="1" spans="1:151" ht="13.5" thickBot="1">
      <c r="H1" s="305" t="s">
        <v>519</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222</v>
      </c>
      <c r="AO1" s="31" t="s">
        <v>118</v>
      </c>
      <c r="AP1" s="53" t="s">
        <v>122</v>
      </c>
      <c r="AQ1" s="32" t="s">
        <v>150</v>
      </c>
      <c r="AR1" s="31" t="s">
        <v>151</v>
      </c>
      <c r="AS1" s="53" t="s">
        <v>152</v>
      </c>
      <c r="AT1" s="32" t="s">
        <v>153</v>
      </c>
      <c r="AU1" s="31" t="s">
        <v>157</v>
      </c>
      <c r="AV1" s="53" t="s">
        <v>158</v>
      </c>
      <c r="AW1" s="32" t="s">
        <v>159</v>
      </c>
      <c r="AX1" s="31" t="s">
        <v>160</v>
      </c>
      <c r="AY1" s="53" t="s">
        <v>161</v>
      </c>
      <c r="AZ1" s="32" t="s">
        <v>178</v>
      </c>
      <c r="BA1" s="31" t="s">
        <v>186</v>
      </c>
      <c r="BB1" s="53" t="s">
        <v>197</v>
      </c>
      <c r="BC1" s="32" t="s">
        <v>282</v>
      </c>
      <c r="BD1" s="31" t="s">
        <v>206</v>
      </c>
      <c r="BE1" s="53" t="s">
        <v>220</v>
      </c>
      <c r="BF1" s="32" t="s">
        <v>221</v>
      </c>
      <c r="BG1" s="31" t="s">
        <v>277</v>
      </c>
      <c r="BH1" s="53" t="s">
        <v>278</v>
      </c>
      <c r="BI1" s="32" t="s">
        <v>285</v>
      </c>
      <c r="BJ1" s="31" t="s">
        <v>301</v>
      </c>
      <c r="BK1" s="53" t="s">
        <v>306</v>
      </c>
      <c r="BL1" s="32" t="s">
        <v>307</v>
      </c>
      <c r="BM1" s="31" t="s">
        <v>312</v>
      </c>
      <c r="BN1" s="53"/>
      <c r="BO1" s="32"/>
      <c r="BP1" s="31"/>
      <c r="BQ1" s="53"/>
      <c r="BR1" s="32"/>
      <c r="BS1" s="31"/>
      <c r="BT1" s="53"/>
      <c r="BU1" s="32"/>
      <c r="BV1" s="31" t="s">
        <v>363</v>
      </c>
      <c r="BW1" s="53" t="s">
        <v>364</v>
      </c>
      <c r="BX1" s="32" t="s">
        <v>369</v>
      </c>
      <c r="BY1" s="31" t="s">
        <v>371</v>
      </c>
      <c r="BZ1" s="53" t="s">
        <v>381</v>
      </c>
      <c r="CA1" s="32" t="s">
        <v>382</v>
      </c>
      <c r="CB1" s="31" t="s">
        <v>467</v>
      </c>
      <c r="CC1" s="53" t="s">
        <v>470</v>
      </c>
      <c r="CD1" s="32" t="s">
        <v>472</v>
      </c>
      <c r="CE1" s="31" t="s">
        <v>482</v>
      </c>
      <c r="CF1" s="53" t="s">
        <v>483</v>
      </c>
      <c r="CG1" s="32" t="s">
        <v>484</v>
      </c>
      <c r="CH1" s="31" t="s">
        <v>485</v>
      </c>
      <c r="CI1" s="53" t="s">
        <v>509</v>
      </c>
      <c r="CJ1" s="32" t="s">
        <v>511</v>
      </c>
      <c r="CK1" s="31" t="s">
        <v>295</v>
      </c>
      <c r="CL1" s="53" t="s">
        <v>415</v>
      </c>
      <c r="CM1" s="32" t="s">
        <v>420</v>
      </c>
      <c r="CN1" s="31" t="s">
        <v>441</v>
      </c>
      <c r="CO1" s="53" t="s">
        <v>442</v>
      </c>
      <c r="CP1" s="32" t="s">
        <v>459</v>
      </c>
      <c r="CQ1" s="31" t="s">
        <v>460</v>
      </c>
      <c r="CR1" s="32" t="s">
        <v>461</v>
      </c>
      <c r="CS1" s="31" t="s">
        <v>231</v>
      </c>
      <c r="CT1" s="32" t="s">
        <v>250</v>
      </c>
      <c r="CU1" s="31" t="s">
        <v>251</v>
      </c>
      <c r="CV1" s="32" t="s">
        <v>252</v>
      </c>
      <c r="CW1" s="31" t="s">
        <v>253</v>
      </c>
      <c r="CX1" s="32" t="s">
        <v>254</v>
      </c>
      <c r="CY1" s="31" t="s">
        <v>255</v>
      </c>
      <c r="CZ1" s="32" t="s">
        <v>256</v>
      </c>
      <c r="DA1" s="31" t="s">
        <v>257</v>
      </c>
      <c r="DB1" s="32" t="s">
        <v>258</v>
      </c>
      <c r="DC1" s="31" t="s">
        <v>262</v>
      </c>
      <c r="DD1" s="32" t="s">
        <v>263</v>
      </c>
      <c r="DE1" s="31" t="s">
        <v>533</v>
      </c>
      <c r="DF1" s="32" t="s">
        <v>62</v>
      </c>
      <c r="DG1" s="31" t="s">
        <v>595</v>
      </c>
      <c r="DM1" s="31"/>
      <c r="DN1" s="31"/>
      <c r="DO1" s="31"/>
      <c r="DP1" s="31"/>
      <c r="DQ1" s="31"/>
      <c r="DR1" s="31"/>
      <c r="DS1" s="31"/>
      <c r="DT1" s="31"/>
      <c r="DU1" s="540"/>
      <c r="DV1" s="31"/>
      <c r="DW1" s="31"/>
      <c r="DX1" s="31"/>
      <c r="DY1" s="31"/>
      <c r="DZ1" s="31"/>
      <c r="EA1" s="31"/>
    </row>
    <row r="2" spans="1:151">
      <c r="A2" s="102">
        <f>Criterios!C8</f>
        <v>0</v>
      </c>
      <c r="B2">
        <f>Criterios!B8</f>
        <v>0</v>
      </c>
    </row>
    <row r="3" spans="1:151" ht="13.5" thickBot="1">
      <c r="A3" t="str">
        <f>Criterios!A9</f>
        <v>Tribunales de Justicia</v>
      </c>
      <c r="B3" t="str">
        <f>Criterios!B9</f>
        <v>ANDALUCIA</v>
      </c>
    </row>
    <row r="4" spans="1:151" ht="13.5" thickBot="1">
      <c r="A4" t="str">
        <f>Criterios!A10</f>
        <v>Provincias</v>
      </c>
      <c r="B4" t="str">
        <f>Criterios!B10</f>
        <v>MALAGA</v>
      </c>
      <c r="CE4" s="1774" t="s">
        <v>353</v>
      </c>
      <c r="CF4" s="1775"/>
      <c r="CG4" s="1775"/>
      <c r="CH4" s="1776"/>
    </row>
    <row r="5" spans="1:151" ht="12.75" customHeight="1" thickBot="1">
      <c r="A5" s="1800" t="str">
        <f>"Año:  " &amp;Criterios!B5 &amp; "                  Trimestre   " &amp;Criterios!D5 &amp; " al " &amp;Criterios!D6</f>
        <v>Año:  2021                  Trimestre   1 al 4</v>
      </c>
      <c r="B5" s="1802" t="s">
        <v>520</v>
      </c>
      <c r="C5" s="1805" t="s">
        <v>49</v>
      </c>
      <c r="D5" s="1811" t="s">
        <v>40</v>
      </c>
      <c r="E5" s="1812"/>
      <c r="F5" s="1812"/>
      <c r="G5" s="1812"/>
      <c r="H5" s="1813"/>
      <c r="I5" s="1817" t="s">
        <v>84</v>
      </c>
      <c r="J5" s="1818"/>
      <c r="K5" s="1818"/>
      <c r="L5" s="1818"/>
      <c r="M5" s="1818"/>
      <c r="N5" s="1818"/>
      <c r="O5" s="1818"/>
      <c r="P5" s="1818"/>
      <c r="Q5" s="1818"/>
      <c r="R5" s="1818"/>
      <c r="S5" s="1818"/>
      <c r="T5" s="1818"/>
      <c r="U5" s="1818"/>
      <c r="V5" s="1818"/>
      <c r="W5" s="1818"/>
      <c r="X5" s="1818"/>
      <c r="Y5" s="1818"/>
      <c r="Z5" s="1818"/>
      <c r="AA5" s="1818"/>
      <c r="AB5" s="1818"/>
      <c r="AC5" s="1818"/>
      <c r="AD5" s="1818"/>
      <c r="AE5" s="1818"/>
      <c r="AF5" s="1818"/>
      <c r="AG5" s="1818"/>
      <c r="AH5" s="1818"/>
      <c r="AI5" s="1818"/>
      <c r="AJ5" s="1818"/>
      <c r="AK5" s="1818"/>
      <c r="AL5" s="1818"/>
      <c r="AM5" s="1818"/>
      <c r="AN5" s="1818"/>
      <c r="AO5" s="1777" t="s">
        <v>179</v>
      </c>
      <c r="AP5" s="1777" t="s">
        <v>180</v>
      </c>
      <c r="AQ5" s="1777" t="s">
        <v>123</v>
      </c>
      <c r="AR5" s="1777" t="s">
        <v>181</v>
      </c>
      <c r="AS5" s="1789" t="s">
        <v>218</v>
      </c>
      <c r="AT5" s="1789" t="s">
        <v>219</v>
      </c>
      <c r="AU5" s="1789" t="s">
        <v>310</v>
      </c>
      <c r="AV5" s="1789" t="s">
        <v>308</v>
      </c>
      <c r="AW5" s="1789" t="s">
        <v>311</v>
      </c>
      <c r="AX5" s="1789" t="s">
        <v>309</v>
      </c>
      <c r="AY5" s="1783" t="s">
        <v>155</v>
      </c>
      <c r="AZ5" s="1836"/>
      <c r="BA5" s="1836"/>
      <c r="BB5" s="1836"/>
      <c r="BC5" s="1837"/>
      <c r="BD5" s="1783" t="s">
        <v>156</v>
      </c>
      <c r="BE5" s="1784"/>
      <c r="BF5" s="1784"/>
      <c r="BG5" s="1785"/>
      <c r="BH5" s="1777" t="s">
        <v>195</v>
      </c>
      <c r="BI5" s="1777" t="s">
        <v>196</v>
      </c>
      <c r="BJ5" s="1833" t="s">
        <v>276</v>
      </c>
      <c r="BK5" s="1794" t="s">
        <v>279</v>
      </c>
      <c r="BL5" s="1794" t="s">
        <v>286</v>
      </c>
      <c r="BM5" s="1830" t="s">
        <v>416</v>
      </c>
      <c r="BN5" s="1607"/>
      <c r="BO5" s="1608"/>
      <c r="BP5" s="1607"/>
      <c r="BQ5" s="1608"/>
      <c r="BR5" s="1607"/>
      <c r="BS5" s="1608"/>
      <c r="BT5" s="1607"/>
      <c r="BU5" s="1608"/>
      <c r="BV5" s="1791" t="s">
        <v>352</v>
      </c>
      <c r="BW5" s="1797" t="s">
        <v>330</v>
      </c>
      <c r="BX5" s="1797" t="s">
        <v>331</v>
      </c>
      <c r="BY5" s="1780" t="s">
        <v>339</v>
      </c>
      <c r="BZ5" s="1780" t="s">
        <v>466</v>
      </c>
      <c r="CA5" s="1767" t="s">
        <v>368</v>
      </c>
      <c r="CB5" s="1767" t="s">
        <v>359</v>
      </c>
      <c r="CC5" s="1767" t="s">
        <v>360</v>
      </c>
      <c r="CD5" s="1767" t="s">
        <v>361</v>
      </c>
      <c r="CE5" s="1755" t="s">
        <v>372</v>
      </c>
      <c r="CF5" s="1755" t="s">
        <v>351</v>
      </c>
      <c r="CG5" s="1755" t="s">
        <v>349</v>
      </c>
      <c r="CH5" s="1755" t="s">
        <v>350</v>
      </c>
      <c r="CI5" s="1771" t="s">
        <v>379</v>
      </c>
      <c r="CJ5" s="1771" t="s">
        <v>380</v>
      </c>
      <c r="CK5" s="1746" t="s">
        <v>550</v>
      </c>
      <c r="CL5" s="1746" t="s">
        <v>551</v>
      </c>
      <c r="CM5" s="1746" t="s">
        <v>589</v>
      </c>
      <c r="CN5" s="1768" t="s">
        <v>488</v>
      </c>
      <c r="CO5" s="1768" t="s">
        <v>481</v>
      </c>
      <c r="CP5" s="1768" t="s">
        <v>487</v>
      </c>
      <c r="CQ5" s="1761" t="s">
        <v>486</v>
      </c>
      <c r="CR5" s="1761" t="s">
        <v>486</v>
      </c>
      <c r="CS5" s="1755" t="s">
        <v>507</v>
      </c>
      <c r="CT5" s="1755" t="s">
        <v>510</v>
      </c>
      <c r="CU5" s="1755" t="s">
        <v>294</v>
      </c>
      <c r="CV5" s="1755" t="s">
        <v>408</v>
      </c>
      <c r="CW5" s="1755" t="s">
        <v>440</v>
      </c>
      <c r="CX5" s="1755" t="s">
        <v>451</v>
      </c>
      <c r="CY5" s="1755" t="s">
        <v>576</v>
      </c>
      <c r="CZ5" s="1755" t="s">
        <v>577</v>
      </c>
      <c r="DA5" s="1755" t="s">
        <v>578</v>
      </c>
      <c r="DB5" s="1727" t="s">
        <v>259</v>
      </c>
      <c r="DC5" s="1727" t="s">
        <v>260</v>
      </c>
      <c r="DD5" s="1727" t="s">
        <v>261</v>
      </c>
      <c r="DE5" s="1758" t="s">
        <v>232</v>
      </c>
      <c r="DF5" s="1758" t="s">
        <v>532</v>
      </c>
      <c r="DG5" s="1755" t="s">
        <v>591</v>
      </c>
      <c r="DH5" s="1746" t="s">
        <v>550</v>
      </c>
      <c r="DI5" s="1746" t="s">
        <v>551</v>
      </c>
      <c r="DJ5" s="1746" t="s">
        <v>588</v>
      </c>
      <c r="DK5" s="1746" t="s">
        <v>642</v>
      </c>
      <c r="DL5" s="1746" t="s">
        <v>646</v>
      </c>
      <c r="DM5" s="1745" t="s">
        <v>719</v>
      </c>
      <c r="DN5" s="1745" t="s">
        <v>720</v>
      </c>
      <c r="DO5" s="1745" t="s">
        <v>721</v>
      </c>
      <c r="DP5" s="1745" t="s">
        <v>722</v>
      </c>
      <c r="DQ5" s="1745" t="s">
        <v>723</v>
      </c>
      <c r="DR5" s="1745" t="s">
        <v>724</v>
      </c>
      <c r="DS5" s="1745" t="s">
        <v>725</v>
      </c>
      <c r="DT5" s="1745" t="s">
        <v>726</v>
      </c>
      <c r="DU5" s="1764" t="s">
        <v>727</v>
      </c>
      <c r="DV5" s="1752" t="s">
        <v>728</v>
      </c>
      <c r="DW5" s="1749" t="s">
        <v>729</v>
      </c>
      <c r="DX5" s="1745" t="s">
        <v>730</v>
      </c>
      <c r="DY5" s="1733" t="s">
        <v>731</v>
      </c>
      <c r="DZ5" s="1749" t="s">
        <v>732</v>
      </c>
      <c r="EA5" s="1733" t="s">
        <v>733</v>
      </c>
      <c r="EB5" s="1742" t="s">
        <v>793</v>
      </c>
      <c r="EC5" s="1742" t="s">
        <v>794</v>
      </c>
      <c r="ED5" s="1742" t="s">
        <v>795</v>
      </c>
      <c r="EE5" s="1742" t="s">
        <v>835</v>
      </c>
      <c r="EF5" s="1742" t="s">
        <v>839</v>
      </c>
      <c r="EG5" s="1733" t="s">
        <v>837</v>
      </c>
      <c r="EH5" s="1733" t="s">
        <v>838</v>
      </c>
      <c r="EI5" s="1733" t="s">
        <v>797</v>
      </c>
      <c r="EJ5" s="1733" t="s">
        <v>798</v>
      </c>
      <c r="EK5" s="1730" t="s">
        <v>886</v>
      </c>
      <c r="EL5" s="1736" t="s">
        <v>904</v>
      </c>
      <c r="EM5" s="1737"/>
      <c r="EN5" s="1738"/>
      <c r="EO5" s="1727" t="s">
        <v>1010</v>
      </c>
      <c r="EP5" s="1727" t="s">
        <v>1012</v>
      </c>
      <c r="EQ5" s="1727" t="s">
        <v>1013</v>
      </c>
      <c r="ER5" s="1727" t="s">
        <v>1019</v>
      </c>
      <c r="ES5" s="1727" t="s">
        <v>1029</v>
      </c>
      <c r="ET5" s="1724" t="s">
        <v>1146</v>
      </c>
      <c r="EU5" s="1724" t="s">
        <v>1147</v>
      </c>
    </row>
    <row r="6" spans="1:151" ht="24.75" customHeight="1" thickBot="1">
      <c r="A6" s="1801"/>
      <c r="B6" s="1803"/>
      <c r="C6" s="1806"/>
      <c r="D6" s="1814"/>
      <c r="E6" s="1815"/>
      <c r="F6" s="1815"/>
      <c r="G6" s="1815"/>
      <c r="H6" s="1816"/>
      <c r="I6" s="1819" t="s">
        <v>10</v>
      </c>
      <c r="J6" s="1820"/>
      <c r="K6" s="1820"/>
      <c r="L6" s="1820"/>
      <c r="M6" s="1820"/>
      <c r="N6" s="1820"/>
      <c r="O6" s="1821"/>
      <c r="P6" s="1808" t="s">
        <v>20</v>
      </c>
      <c r="Q6" s="1809"/>
      <c r="R6" s="1810"/>
      <c r="S6" s="1819" t="s">
        <v>154</v>
      </c>
      <c r="T6" s="1820"/>
      <c r="U6" s="1820"/>
      <c r="V6" s="1820"/>
      <c r="W6" s="1822"/>
      <c r="X6" s="1823"/>
      <c r="Y6" s="1824" t="s">
        <v>46</v>
      </c>
      <c r="Z6" s="1825"/>
      <c r="AA6" s="1825"/>
      <c r="AB6" s="1826"/>
      <c r="AC6" s="1824" t="s">
        <v>47</v>
      </c>
      <c r="AD6" s="1825"/>
      <c r="AE6" s="1825"/>
      <c r="AF6" s="1829"/>
      <c r="AG6" s="1808" t="s">
        <v>85</v>
      </c>
      <c r="AH6" s="1809"/>
      <c r="AI6" s="1809"/>
      <c r="AJ6" s="1810"/>
      <c r="AK6" s="1827" t="s">
        <v>86</v>
      </c>
      <c r="AL6" s="1809"/>
      <c r="AM6" s="1809"/>
      <c r="AN6" s="1828"/>
      <c r="AO6" s="1778"/>
      <c r="AP6" s="1778"/>
      <c r="AQ6" s="1778"/>
      <c r="AR6" s="1778"/>
      <c r="AS6" s="1728"/>
      <c r="AT6" s="1728"/>
      <c r="AU6" s="1728"/>
      <c r="AV6" s="1728"/>
      <c r="AW6" s="1728"/>
      <c r="AX6" s="1728"/>
      <c r="AY6" s="1838"/>
      <c r="AZ6" s="1839"/>
      <c r="BA6" s="1839"/>
      <c r="BB6" s="1839"/>
      <c r="BC6" s="1840"/>
      <c r="BD6" s="1786"/>
      <c r="BE6" s="1787"/>
      <c r="BF6" s="1787"/>
      <c r="BG6" s="1788"/>
      <c r="BH6" s="1778"/>
      <c r="BI6" s="1778"/>
      <c r="BJ6" s="1834"/>
      <c r="BK6" s="1795"/>
      <c r="BL6" s="1795"/>
      <c r="BM6" s="1831"/>
      <c r="BN6" s="1605"/>
      <c r="BO6" s="1605"/>
      <c r="BP6" s="1605"/>
      <c r="BQ6" s="1605"/>
      <c r="BR6" s="1605"/>
      <c r="BS6" s="1605"/>
      <c r="BT6" s="1605"/>
      <c r="BU6" s="1605"/>
      <c r="BV6" s="1792"/>
      <c r="BW6" s="1798"/>
      <c r="BX6" s="1798"/>
      <c r="BY6" s="1781"/>
      <c r="BZ6" s="1781"/>
      <c r="CA6" s="1756"/>
      <c r="CB6" s="1756"/>
      <c r="CC6" s="1756"/>
      <c r="CD6" s="1756"/>
      <c r="CE6" s="1756"/>
      <c r="CF6" s="1756"/>
      <c r="CG6" s="1756"/>
      <c r="CH6" s="1756"/>
      <c r="CI6" s="1772"/>
      <c r="CJ6" s="1772"/>
      <c r="CK6" s="1747"/>
      <c r="CL6" s="1747"/>
      <c r="CM6" s="1747"/>
      <c r="CN6" s="1769"/>
      <c r="CO6" s="1769"/>
      <c r="CP6" s="1769"/>
      <c r="CQ6" s="1762"/>
      <c r="CR6" s="1762"/>
      <c r="CS6" s="1756"/>
      <c r="CT6" s="1756"/>
      <c r="CU6" s="1756"/>
      <c r="CV6" s="1756"/>
      <c r="CW6" s="1756"/>
      <c r="CX6" s="1756"/>
      <c r="CY6" s="1756"/>
      <c r="CZ6" s="1756"/>
      <c r="DA6" s="1756"/>
      <c r="DB6" s="1728"/>
      <c r="DC6" s="1728"/>
      <c r="DD6" s="1728"/>
      <c r="DE6" s="1759"/>
      <c r="DF6" s="1759"/>
      <c r="DG6" s="1756"/>
      <c r="DH6" s="1747"/>
      <c r="DI6" s="1747"/>
      <c r="DJ6" s="1747"/>
      <c r="DK6" s="1747"/>
      <c r="DL6" s="1747"/>
      <c r="DM6" s="1651"/>
      <c r="DN6" s="1651"/>
      <c r="DO6" s="1651"/>
      <c r="DP6" s="1651"/>
      <c r="DQ6" s="1651"/>
      <c r="DR6" s="1651"/>
      <c r="DS6" s="1651"/>
      <c r="DT6" s="1651"/>
      <c r="DU6" s="1765"/>
      <c r="DV6" s="1753"/>
      <c r="DW6" s="1750"/>
      <c r="DX6" s="1651"/>
      <c r="DY6" s="1734"/>
      <c r="DZ6" s="1750"/>
      <c r="EA6" s="1734"/>
      <c r="EB6" s="1743"/>
      <c r="EC6" s="1743"/>
      <c r="ED6" s="1743"/>
      <c r="EE6" s="1743"/>
      <c r="EF6" s="1743"/>
      <c r="EG6" s="1734"/>
      <c r="EH6" s="1734"/>
      <c r="EI6" s="1734"/>
      <c r="EJ6" s="1734"/>
      <c r="EK6" s="1731"/>
      <c r="EL6" s="1739"/>
      <c r="EM6" s="1740"/>
      <c r="EN6" s="1741"/>
      <c r="EO6" s="1728"/>
      <c r="EP6" s="1728"/>
      <c r="EQ6" s="1728"/>
      <c r="ER6" s="1728"/>
      <c r="ES6" s="1728"/>
      <c r="ET6" s="1725"/>
      <c r="EU6" s="1725"/>
    </row>
    <row r="7" spans="1:151" ht="87" customHeight="1" thickBot="1">
      <c r="A7" s="72" t="s">
        <v>1009</v>
      </c>
      <c r="B7" s="1804"/>
      <c r="C7" s="1807"/>
      <c r="D7" s="69" t="s">
        <v>521</v>
      </c>
      <c r="E7" s="70" t="s">
        <v>173</v>
      </c>
      <c r="F7" s="70" t="s">
        <v>172</v>
      </c>
      <c r="G7" s="131" t="s">
        <v>51</v>
      </c>
      <c r="H7" s="132" t="s">
        <v>522</v>
      </c>
      <c r="I7" s="9" t="s">
        <v>23</v>
      </c>
      <c r="J7" s="10" t="s">
        <v>18</v>
      </c>
      <c r="K7" s="10" t="s">
        <v>14</v>
      </c>
      <c r="L7" s="11" t="s">
        <v>24</v>
      </c>
      <c r="M7" s="9" t="s">
        <v>12</v>
      </c>
      <c r="N7" s="10" t="s">
        <v>13</v>
      </c>
      <c r="O7" s="172" t="s">
        <v>288</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79"/>
      <c r="AP7" s="1779"/>
      <c r="AQ7" s="1779"/>
      <c r="AR7" s="1779"/>
      <c r="AS7" s="1729"/>
      <c r="AT7" s="1790"/>
      <c r="AU7" s="1790"/>
      <c r="AV7" s="1790"/>
      <c r="AW7" s="1790"/>
      <c r="AX7" s="1790"/>
      <c r="AY7" s="104" t="s">
        <v>23</v>
      </c>
      <c r="AZ7" s="105" t="s">
        <v>18</v>
      </c>
      <c r="BA7" s="105" t="s">
        <v>14</v>
      </c>
      <c r="BB7" s="105" t="s">
        <v>33</v>
      </c>
      <c r="BC7" s="106" t="s">
        <v>12</v>
      </c>
      <c r="BD7" s="104" t="s">
        <v>14</v>
      </c>
      <c r="BE7" s="105" t="s">
        <v>22</v>
      </c>
      <c r="BF7" s="105" t="s">
        <v>131</v>
      </c>
      <c r="BG7" s="106" t="s">
        <v>132</v>
      </c>
      <c r="BH7" s="1779"/>
      <c r="BI7" s="1779"/>
      <c r="BJ7" s="1835"/>
      <c r="BK7" s="1796"/>
      <c r="BL7" s="1796"/>
      <c r="BM7" s="1832"/>
      <c r="BN7" s="1606"/>
      <c r="BO7" s="1606"/>
      <c r="BP7" s="1606"/>
      <c r="BQ7" s="1606"/>
      <c r="BR7" s="1606"/>
      <c r="BS7" s="1606"/>
      <c r="BT7" s="1606"/>
      <c r="BU7" s="1606"/>
      <c r="BV7" s="1793"/>
      <c r="BW7" s="1799"/>
      <c r="BX7" s="1799"/>
      <c r="BY7" s="1782"/>
      <c r="BZ7" s="1782"/>
      <c r="CA7" s="1757"/>
      <c r="CB7" s="1757"/>
      <c r="CC7" s="1757"/>
      <c r="CD7" s="1757"/>
      <c r="CE7" s="1757"/>
      <c r="CF7" s="1757"/>
      <c r="CG7" s="1757"/>
      <c r="CH7" s="1757"/>
      <c r="CI7" s="1773"/>
      <c r="CJ7" s="1773"/>
      <c r="CK7" s="1748"/>
      <c r="CL7" s="1748"/>
      <c r="CM7" s="1748"/>
      <c r="CN7" s="1770"/>
      <c r="CO7" s="1770"/>
      <c r="CP7" s="1770"/>
      <c r="CQ7" s="1763"/>
      <c r="CR7" s="1763"/>
      <c r="CS7" s="1757"/>
      <c r="CT7" s="1757"/>
      <c r="CU7" s="1757"/>
      <c r="CV7" s="1757"/>
      <c r="CW7" s="1757"/>
      <c r="CX7" s="1757"/>
      <c r="CY7" s="1757"/>
      <c r="CZ7" s="1757"/>
      <c r="DA7" s="1757"/>
      <c r="DB7" s="1729"/>
      <c r="DC7" s="1729"/>
      <c r="DD7" s="1729"/>
      <c r="DE7" s="1760"/>
      <c r="DF7" s="1760"/>
      <c r="DG7" s="1757"/>
      <c r="DH7" s="1748"/>
      <c r="DI7" s="1748"/>
      <c r="DJ7" s="1748"/>
      <c r="DK7" s="1748"/>
      <c r="DL7" s="1748"/>
      <c r="DM7" s="1652"/>
      <c r="DN7" s="1652"/>
      <c r="DO7" s="1652"/>
      <c r="DP7" s="1652"/>
      <c r="DQ7" s="1652"/>
      <c r="DR7" s="1652"/>
      <c r="DS7" s="1652"/>
      <c r="DT7" s="1652"/>
      <c r="DU7" s="1766"/>
      <c r="DV7" s="1754"/>
      <c r="DW7" s="1751"/>
      <c r="DX7" s="1652"/>
      <c r="DY7" s="1735"/>
      <c r="DZ7" s="1751"/>
      <c r="EA7" s="1735"/>
      <c r="EB7" s="1744"/>
      <c r="EC7" s="1744"/>
      <c r="ED7" s="1744"/>
      <c r="EE7" s="1744"/>
      <c r="EF7" s="1744"/>
      <c r="EG7" s="1735"/>
      <c r="EH7" s="1735"/>
      <c r="EI7" s="1735"/>
      <c r="EJ7" s="1735"/>
      <c r="EK7" s="1732"/>
      <c r="EL7" s="854" t="s">
        <v>905</v>
      </c>
      <c r="EM7" s="854" t="s">
        <v>129</v>
      </c>
      <c r="EN7" s="854" t="s">
        <v>130</v>
      </c>
      <c r="EO7" s="1729"/>
      <c r="EP7" s="1729"/>
      <c r="EQ7" s="1729"/>
      <c r="ER7" s="1729"/>
      <c r="ES7" s="1729"/>
      <c r="ET7" s="1726"/>
      <c r="EU7" s="1726"/>
    </row>
    <row r="8" spans="1:151" ht="14.25" customHeight="1" thickBot="1">
      <c r="A8" s="73" t="s">
        <v>148</v>
      </c>
      <c r="B8" s="151" t="s">
        <v>523</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602</v>
      </c>
      <c r="DI8" s="53" t="s">
        <v>603</v>
      </c>
      <c r="DJ8" s="536" t="s">
        <v>604</v>
      </c>
      <c r="DK8" s="536" t="s">
        <v>643</v>
      </c>
      <c r="DL8" s="536" t="s">
        <v>644</v>
      </c>
      <c r="DM8" s="536" t="s">
        <v>734</v>
      </c>
      <c r="DN8" s="536" t="s">
        <v>735</v>
      </c>
      <c r="DO8" s="536" t="s">
        <v>736</v>
      </c>
      <c r="DP8" s="536" t="s">
        <v>737</v>
      </c>
      <c r="DQ8" s="536" t="s">
        <v>738</v>
      </c>
      <c r="DR8" s="536" t="s">
        <v>739</v>
      </c>
      <c r="DS8" s="536" t="s">
        <v>740</v>
      </c>
      <c r="DT8" s="536" t="s">
        <v>741</v>
      </c>
      <c r="DU8" s="542" t="s">
        <v>742</v>
      </c>
      <c r="DV8" s="536" t="s">
        <v>743</v>
      </c>
      <c r="DW8" s="536" t="s">
        <v>744</v>
      </c>
      <c r="DX8" s="536" t="s">
        <v>745</v>
      </c>
      <c r="DY8" s="536" t="s">
        <v>746</v>
      </c>
      <c r="DZ8" s="536" t="s">
        <v>747</v>
      </c>
      <c r="EA8" s="536" t="s">
        <v>748</v>
      </c>
      <c r="EB8" s="536" t="s">
        <v>805</v>
      </c>
      <c r="EC8" s="536" t="s">
        <v>806</v>
      </c>
      <c r="ED8" s="536" t="s">
        <v>807</v>
      </c>
      <c r="EE8" s="536" t="s">
        <v>808</v>
      </c>
      <c r="EF8" s="536" t="s">
        <v>809</v>
      </c>
      <c r="EG8" s="536" t="s">
        <v>810</v>
      </c>
      <c r="EH8" s="536" t="s">
        <v>811</v>
      </c>
      <c r="EI8" s="536" t="s">
        <v>812</v>
      </c>
      <c r="EJ8" s="536" t="s">
        <v>813</v>
      </c>
      <c r="EK8" s="536" t="s">
        <v>887</v>
      </c>
      <c r="EL8" s="855" t="s">
        <v>906</v>
      </c>
      <c r="EM8" s="855" t="s">
        <v>907</v>
      </c>
      <c r="EN8" s="855" t="s">
        <v>908</v>
      </c>
      <c r="EO8" s="53" t="s">
        <v>1011</v>
      </c>
      <c r="EP8" s="53" t="s">
        <v>1017</v>
      </c>
      <c r="EQ8" s="536" t="s">
        <v>1018</v>
      </c>
      <c r="ER8" s="536">
        <v>148</v>
      </c>
      <c r="ES8" s="536" t="s">
        <v>1030</v>
      </c>
      <c r="ET8" s="1522" t="s">
        <v>1148</v>
      </c>
      <c r="EU8" s="1522" t="s">
        <v>1149</v>
      </c>
    </row>
    <row r="9" spans="1:151" ht="14.25" customHeight="1">
      <c r="A9" s="20" t="s">
        <v>72</v>
      </c>
      <c r="B9" s="21" t="s">
        <v>523</v>
      </c>
      <c r="C9" s="22" t="s">
        <v>8</v>
      </c>
      <c r="D9" s="23" t="s">
        <v>25</v>
      </c>
      <c r="E9" s="21" t="s">
        <v>26</v>
      </c>
      <c r="F9" s="21">
        <v>32</v>
      </c>
      <c r="G9" s="6"/>
      <c r="H9" s="146" t="s">
        <v>323</v>
      </c>
      <c r="I9" s="193">
        <v>22862</v>
      </c>
      <c r="J9" s="194">
        <v>33606</v>
      </c>
      <c r="K9" s="194">
        <v>34796</v>
      </c>
      <c r="L9" s="194">
        <v>23303</v>
      </c>
      <c r="M9" s="194">
        <v>8836</v>
      </c>
      <c r="N9" s="194">
        <v>20181</v>
      </c>
      <c r="O9" s="194">
        <v>13444</v>
      </c>
      <c r="P9" s="194">
        <v>6660</v>
      </c>
      <c r="Q9" s="194">
        <v>8782</v>
      </c>
      <c r="R9" s="194">
        <v>21751</v>
      </c>
      <c r="S9" s="194">
        <v>21857</v>
      </c>
      <c r="T9" s="194">
        <v>29284</v>
      </c>
      <c r="U9" s="194">
        <v>28254</v>
      </c>
      <c r="V9" s="194">
        <v>22862</v>
      </c>
      <c r="W9" s="194">
        <v>6339</v>
      </c>
      <c r="X9" s="201">
        <v>17248</v>
      </c>
      <c r="Y9" s="204">
        <v>309</v>
      </c>
      <c r="Z9" s="194">
        <v>4134</v>
      </c>
      <c r="AA9" s="194">
        <v>3834</v>
      </c>
      <c r="AB9" s="194">
        <v>626</v>
      </c>
      <c r="AC9" s="194">
        <v>0</v>
      </c>
      <c r="AD9" s="194">
        <v>0</v>
      </c>
      <c r="AE9" s="194">
        <v>0</v>
      </c>
      <c r="AF9" s="201">
        <v>0</v>
      </c>
      <c r="AG9" s="204">
        <v>441</v>
      </c>
      <c r="AH9" s="194">
        <v>3098</v>
      </c>
      <c r="AI9" s="194">
        <v>3230</v>
      </c>
      <c r="AJ9" s="205">
        <v>309</v>
      </c>
      <c r="AK9" s="193">
        <v>0</v>
      </c>
      <c r="AL9" s="194">
        <v>0</v>
      </c>
      <c r="AM9" s="194">
        <v>0</v>
      </c>
      <c r="AN9" s="201">
        <v>0</v>
      </c>
      <c r="AO9" s="282">
        <v>17</v>
      </c>
      <c r="AP9" s="167">
        <v>17</v>
      </c>
      <c r="AQ9" s="167">
        <v>17</v>
      </c>
      <c r="AR9" s="206">
        <v>17</v>
      </c>
      <c r="AS9" s="380" t="s">
        <v>1084</v>
      </c>
      <c r="AT9" s="208"/>
      <c r="AU9" s="207"/>
      <c r="AV9" s="208"/>
      <c r="AW9" s="207"/>
      <c r="AX9" s="208"/>
      <c r="AY9" s="133">
        <f>IF(ISNUMBER(IF(J_V="SI",S9,S9+AG9)),IF(J_V="SI",S9,S9+AG9)," - ")</f>
        <v>22298</v>
      </c>
      <c r="AZ9" s="133">
        <f>IF(ISNUMBER(IF(J_V="SI",T9,T9+AH9)),IF(J_V="SI",T9,T9+AH9)," - ")</f>
        <v>32382</v>
      </c>
      <c r="BA9" s="134">
        <f>IF(ISNUMBER(IF(J_V="SI",U9,U9+AI9)),IF(J_V="SI",U9,U9+AI9)," - ")</f>
        <v>31484</v>
      </c>
      <c r="BB9" s="134">
        <f>IF(ISNUMBER(IF(J_V="SI",V9,V9+AJ9)),IF(J_V="SI",V9,V9+AJ9)," - ")</f>
        <v>23171</v>
      </c>
      <c r="BC9" s="135">
        <f>IF(ISNUMBER(X9),X9," - ")</f>
        <v>17248</v>
      </c>
      <c r="BD9" s="136">
        <f>IF(ISNUMBER(BA9/AZ9),BA9/AZ9," - ")</f>
        <v>0.97226854425298004</v>
      </c>
      <c r="BE9" s="137">
        <f>IF(ISNUMBER(BB9/BA9),BB9/BA9, " - ")</f>
        <v>0.73596112311015116</v>
      </c>
      <c r="BF9" s="137">
        <f>IF(ISNUMBER(BC9/BA9),BC9/BA9, " - ")</f>
        <v>0.54783382035319528</v>
      </c>
      <c r="BG9" s="209">
        <f>IF(ISNUMBER((AY9+AZ9)/BA9),(AY9+AZ9)/BA9," - ")</f>
        <v>1.7367551772328802</v>
      </c>
      <c r="BH9" s="167">
        <v>17</v>
      </c>
      <c r="BI9" s="167"/>
      <c r="BJ9" s="207"/>
      <c r="BK9" s="167"/>
      <c r="BL9" s="167"/>
      <c r="BM9" s="167">
        <v>720</v>
      </c>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v>1088</v>
      </c>
      <c r="CO9" s="169">
        <v>720</v>
      </c>
      <c r="CP9" s="169">
        <v>1088</v>
      </c>
      <c r="CQ9" s="169"/>
      <c r="CR9" s="169"/>
      <c r="CS9" s="169"/>
      <c r="CT9" s="169"/>
      <c r="CU9" s="169"/>
      <c r="CV9" s="169"/>
      <c r="CW9" s="169"/>
      <c r="CX9" s="67"/>
      <c r="CY9" s="169"/>
      <c r="CZ9" s="169"/>
      <c r="DA9" s="169"/>
      <c r="DB9" s="352"/>
      <c r="DC9" s="352"/>
      <c r="DD9" s="169"/>
      <c r="DE9" s="169"/>
      <c r="DF9" s="169"/>
      <c r="DG9" s="534"/>
      <c r="DH9" s="169"/>
      <c r="DI9" s="169"/>
      <c r="DJ9" s="169"/>
      <c r="DK9" s="169"/>
      <c r="DL9" s="169"/>
      <c r="DM9" s="169"/>
      <c r="DN9" s="169"/>
      <c r="DO9" s="169"/>
      <c r="DP9" s="169"/>
      <c r="DQ9" s="169"/>
      <c r="DR9" s="169"/>
      <c r="DS9" s="169"/>
      <c r="DT9" s="169"/>
      <c r="DU9" s="169"/>
      <c r="DV9" s="850"/>
      <c r="DW9" s="850"/>
      <c r="DX9" s="850"/>
      <c r="DY9" s="850"/>
      <c r="DZ9" s="169"/>
      <c r="EA9" s="169"/>
      <c r="EB9" s="169"/>
      <c r="EC9" s="169"/>
      <c r="ED9" s="169"/>
      <c r="EE9" s="169"/>
      <c r="EF9" s="169"/>
      <c r="EG9" s="169"/>
      <c r="EH9" s="169"/>
      <c r="EI9" s="169"/>
      <c r="EJ9" s="169"/>
      <c r="EK9" s="169"/>
      <c r="EL9" s="803"/>
      <c r="EM9" s="803"/>
      <c r="EN9" s="803"/>
      <c r="EO9" s="8" t="s">
        <v>1085</v>
      </c>
      <c r="EP9" s="1336"/>
      <c r="EQ9" s="1336"/>
      <c r="ER9" s="1341">
        <v>1200</v>
      </c>
      <c r="ES9" s="1336"/>
      <c r="ET9" s="1523"/>
      <c r="EU9" s="1523"/>
    </row>
    <row r="10" spans="1:151" ht="14.25" customHeight="1">
      <c r="A10" s="20" t="s">
        <v>191</v>
      </c>
      <c r="B10" s="21" t="s">
        <v>523</v>
      </c>
      <c r="C10" s="22" t="s">
        <v>8</v>
      </c>
      <c r="D10" s="23" t="s">
        <v>114</v>
      </c>
      <c r="E10" s="21" t="s">
        <v>114</v>
      </c>
      <c r="F10" s="21" t="s">
        <v>186</v>
      </c>
      <c r="G10" s="6"/>
      <c r="H10" s="28"/>
      <c r="I10" s="193">
        <v>260</v>
      </c>
      <c r="J10" s="194">
        <v>471</v>
      </c>
      <c r="K10" s="194">
        <v>532</v>
      </c>
      <c r="L10" s="194">
        <v>204</v>
      </c>
      <c r="M10" s="194">
        <v>207</v>
      </c>
      <c r="N10" s="194">
        <v>247</v>
      </c>
      <c r="O10" s="194">
        <v>137</v>
      </c>
      <c r="P10" s="194">
        <v>163</v>
      </c>
      <c r="Q10" s="194">
        <v>195</v>
      </c>
      <c r="R10" s="194">
        <v>285</v>
      </c>
      <c r="S10" s="194">
        <v>236</v>
      </c>
      <c r="T10" s="194">
        <v>551</v>
      </c>
      <c r="U10" s="194">
        <v>527</v>
      </c>
      <c r="V10" s="194">
        <v>260</v>
      </c>
      <c r="W10" s="194">
        <v>151</v>
      </c>
      <c r="X10" s="201">
        <v>300</v>
      </c>
      <c r="Y10" s="210">
        <v>0</v>
      </c>
      <c r="Z10" s="211">
        <v>0</v>
      </c>
      <c r="AA10" s="212">
        <v>0</v>
      </c>
      <c r="AB10" s="211">
        <v>0</v>
      </c>
      <c r="AC10" s="194">
        <v>0</v>
      </c>
      <c r="AD10" s="194">
        <v>0</v>
      </c>
      <c r="AE10" s="194">
        <v>0</v>
      </c>
      <c r="AF10" s="201">
        <v>0</v>
      </c>
      <c r="AG10" s="204">
        <v>0</v>
      </c>
      <c r="AH10" s="194">
        <v>0</v>
      </c>
      <c r="AI10" s="194">
        <v>0</v>
      </c>
      <c r="AJ10" s="205">
        <v>0</v>
      </c>
      <c r="AK10" s="193">
        <v>0</v>
      </c>
      <c r="AL10" s="194">
        <v>0</v>
      </c>
      <c r="AM10" s="194">
        <v>0</v>
      </c>
      <c r="AN10" s="201">
        <v>0</v>
      </c>
      <c r="AO10" s="282">
        <v>3</v>
      </c>
      <c r="AP10" s="168">
        <v>3</v>
      </c>
      <c r="AQ10" s="167">
        <v>3</v>
      </c>
      <c r="AR10" s="168">
        <v>3</v>
      </c>
      <c r="AS10" s="381" t="s">
        <v>1078</v>
      </c>
      <c r="AT10" s="205"/>
      <c r="AU10" s="213"/>
      <c r="AV10" s="205"/>
      <c r="AW10" s="213"/>
      <c r="AX10" s="205"/>
      <c r="AY10" s="138">
        <f t="shared" ref="AY10:BC10" si="0">IF(ISNUMBER(S10),S10," - ")</f>
        <v>236</v>
      </c>
      <c r="AZ10" s="139">
        <f t="shared" si="0"/>
        <v>551</v>
      </c>
      <c r="BA10" s="139">
        <f t="shared" si="0"/>
        <v>527</v>
      </c>
      <c r="BB10" s="139">
        <f t="shared" si="0"/>
        <v>260</v>
      </c>
      <c r="BC10" s="135">
        <f t="shared" si="0"/>
        <v>151</v>
      </c>
      <c r="BD10" s="136">
        <f>IF(ISNUMBER(BA10/AZ10),BA10/AZ10," - ")</f>
        <v>0.95644283121597096</v>
      </c>
      <c r="BE10" s="137">
        <f>IF(ISNUMBER(BB10/BA10),BB10/BA10, " - ")</f>
        <v>0.49335863377609107</v>
      </c>
      <c r="BF10" s="137">
        <f>IF(ISNUMBER(BC10/BA10),BC10/BA10, " - ")</f>
        <v>0.28652751423149903</v>
      </c>
      <c r="BG10" s="209">
        <f>IF(ISNUMBER((AY10+AZ10)/BA10),(AY10+AZ10)/BA10," - ")</f>
        <v>1.4933586337760911</v>
      </c>
      <c r="BH10" s="168">
        <v>3</v>
      </c>
      <c r="BI10" s="168"/>
      <c r="BJ10" s="214"/>
      <c r="BK10" s="167"/>
      <c r="BL10" s="167"/>
      <c r="BM10" s="167">
        <v>0</v>
      </c>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v>1175</v>
      </c>
      <c r="CO10" s="167">
        <v>0</v>
      </c>
      <c r="CP10" s="167">
        <v>1175</v>
      </c>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50"/>
      <c r="DW10" s="850"/>
      <c r="DX10" s="850"/>
      <c r="DY10" s="850"/>
      <c r="DZ10" s="169"/>
      <c r="EA10" s="169"/>
      <c r="EB10" s="315"/>
      <c r="EC10" s="315"/>
      <c r="ED10" s="315"/>
      <c r="EE10" s="315"/>
      <c r="EF10" s="315"/>
      <c r="EG10" s="315"/>
      <c r="EH10" s="315"/>
      <c r="EI10" s="315"/>
      <c r="EJ10" s="315"/>
      <c r="EK10" s="315"/>
      <c r="EL10" s="187"/>
      <c r="EM10" s="187"/>
      <c r="EN10" s="187"/>
      <c r="EO10" s="1346" t="s">
        <v>1052</v>
      </c>
      <c r="EP10" s="381"/>
      <c r="EQ10" s="381"/>
      <c r="ER10" s="1342">
        <v>1600</v>
      </c>
      <c r="ES10" s="381"/>
      <c r="ET10" s="1523"/>
      <c r="EU10" s="1523"/>
    </row>
    <row r="11" spans="1:151" ht="14.25" customHeight="1" thickBot="1">
      <c r="A11" s="20" t="s">
        <v>524</v>
      </c>
      <c r="B11" s="21" t="s">
        <v>523</v>
      </c>
      <c r="C11" s="22" t="s">
        <v>8</v>
      </c>
      <c r="D11" s="23" t="s">
        <v>25</v>
      </c>
      <c r="E11" s="21" t="s">
        <v>78</v>
      </c>
      <c r="F11" s="21">
        <v>32</v>
      </c>
      <c r="G11" s="6"/>
      <c r="H11" s="28" t="s">
        <v>52</v>
      </c>
      <c r="I11" s="195">
        <v>3010</v>
      </c>
      <c r="J11" s="196">
        <v>5000</v>
      </c>
      <c r="K11" s="196">
        <v>5648</v>
      </c>
      <c r="L11" s="196">
        <v>2482</v>
      </c>
      <c r="M11" s="196">
        <v>2904</v>
      </c>
      <c r="N11" s="196">
        <v>1571</v>
      </c>
      <c r="O11" s="194">
        <v>1844</v>
      </c>
      <c r="P11" s="196">
        <v>879</v>
      </c>
      <c r="Q11" s="196">
        <v>1135</v>
      </c>
      <c r="R11" s="196">
        <v>2366</v>
      </c>
      <c r="S11" s="196">
        <v>2179</v>
      </c>
      <c r="T11" s="196">
        <v>4623</v>
      </c>
      <c r="U11" s="196">
        <v>3792</v>
      </c>
      <c r="V11" s="196">
        <v>3010</v>
      </c>
      <c r="W11" s="196">
        <v>1805</v>
      </c>
      <c r="X11" s="202">
        <v>1175</v>
      </c>
      <c r="Y11" s="204">
        <v>142</v>
      </c>
      <c r="Z11" s="194">
        <v>402</v>
      </c>
      <c r="AA11" s="194">
        <v>417</v>
      </c>
      <c r="AB11" s="194">
        <v>130</v>
      </c>
      <c r="AC11" s="196">
        <v>0</v>
      </c>
      <c r="AD11" s="196">
        <v>0</v>
      </c>
      <c r="AE11" s="196">
        <v>0</v>
      </c>
      <c r="AF11" s="202">
        <v>0</v>
      </c>
      <c r="AG11" s="215">
        <v>126</v>
      </c>
      <c r="AH11" s="196">
        <v>321</v>
      </c>
      <c r="AI11" s="196">
        <v>305</v>
      </c>
      <c r="AJ11" s="216">
        <v>142</v>
      </c>
      <c r="AK11" s="195">
        <v>0</v>
      </c>
      <c r="AL11" s="196">
        <v>0</v>
      </c>
      <c r="AM11" s="196">
        <v>0</v>
      </c>
      <c r="AN11" s="202">
        <v>0</v>
      </c>
      <c r="AO11" s="283">
        <v>4</v>
      </c>
      <c r="AP11" s="168">
        <v>4</v>
      </c>
      <c r="AQ11" s="168">
        <v>4</v>
      </c>
      <c r="AR11" s="167">
        <v>4</v>
      </c>
      <c r="AS11" s="382" t="s">
        <v>1087</v>
      </c>
      <c r="AT11" s="216"/>
      <c r="AU11" s="215"/>
      <c r="AV11" s="216"/>
      <c r="AW11" s="215"/>
      <c r="AX11" s="216"/>
      <c r="AY11" s="136">
        <f t="shared" ref="AY11:BB12" si="1">IF(ISNUMBER(IF(J_V="SI",S11,S11+AG11)),IF(J_V="SI",S11,S11+AG11)," - ")</f>
        <v>2305</v>
      </c>
      <c r="AZ11" s="137">
        <f t="shared" si="1"/>
        <v>4944</v>
      </c>
      <c r="BA11" s="137">
        <f t="shared" si="1"/>
        <v>4097</v>
      </c>
      <c r="BB11" s="137">
        <f t="shared" si="1"/>
        <v>3152</v>
      </c>
      <c r="BC11" s="135">
        <f>IF(ISNUMBER(X11),X11," - ")</f>
        <v>1175</v>
      </c>
      <c r="BD11" s="136">
        <f t="shared" ref="BD11:BD13" si="2">IF(ISNUMBER(BA11/AZ11),BA11/AZ11," - ")</f>
        <v>0.82868122977346281</v>
      </c>
      <c r="BE11" s="137">
        <f t="shared" ref="BE11:BE13" si="3">IF(ISNUMBER(BB11/BA11),BB11/BA11, " - ")</f>
        <v>0.76934342201610939</v>
      </c>
      <c r="BF11" s="137">
        <f t="shared" ref="BF11:BF13" si="4">IF(ISNUMBER(BC11/BA11),BC11/BA11, " - ")</f>
        <v>0.28679521601171587</v>
      </c>
      <c r="BG11" s="209">
        <f t="shared" ref="BG11:BG13" si="5">IF(ISNUMBER((AY11+AZ11)/BA11),(AY11+AZ11)/BA11," - ")</f>
        <v>1.7693434220161093</v>
      </c>
      <c r="BH11" s="168">
        <v>4</v>
      </c>
      <c r="BI11" s="168"/>
      <c r="BJ11" s="215"/>
      <c r="BK11" s="168"/>
      <c r="BL11" s="168"/>
      <c r="BM11" s="168">
        <v>1000</v>
      </c>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v>1088</v>
      </c>
      <c r="CO11" s="170">
        <v>1000</v>
      </c>
      <c r="CP11" s="169">
        <v>1088</v>
      </c>
      <c r="CQ11" s="169"/>
      <c r="CR11" s="169"/>
      <c r="CS11" s="170"/>
      <c r="CT11" s="170"/>
      <c r="CU11" s="170"/>
      <c r="CV11" s="169"/>
      <c r="CW11" s="169"/>
      <c r="CX11" s="67"/>
      <c r="CY11" s="169"/>
      <c r="CZ11" s="169"/>
      <c r="DA11" s="169"/>
      <c r="DB11" s="160"/>
      <c r="DC11" s="160"/>
      <c r="DD11" s="169"/>
      <c r="DE11" s="169"/>
      <c r="DF11" s="169"/>
      <c r="DG11" s="534"/>
      <c r="DH11" s="169"/>
      <c r="DI11" s="169"/>
      <c r="DJ11" s="169"/>
      <c r="DK11" s="169"/>
      <c r="DL11" s="169"/>
      <c r="DM11" s="169"/>
      <c r="DN11" s="169"/>
      <c r="DO11" s="169"/>
      <c r="DP11" s="169"/>
      <c r="DQ11" s="169"/>
      <c r="DR11" s="169"/>
      <c r="DS11" s="169"/>
      <c r="DT11" s="169"/>
      <c r="DU11" s="169"/>
      <c r="DV11" s="850"/>
      <c r="DW11" s="850"/>
      <c r="DX11" s="850"/>
      <c r="DY11" s="850"/>
      <c r="DZ11" s="169"/>
      <c r="EA11" s="169"/>
      <c r="EB11" s="315"/>
      <c r="EC11" s="315"/>
      <c r="ED11" s="315"/>
      <c r="EE11" s="315"/>
      <c r="EF11" s="315"/>
      <c r="EG11" s="315"/>
      <c r="EH11" s="315"/>
      <c r="EI11" s="315"/>
      <c r="EJ11" s="315"/>
      <c r="EK11" s="315"/>
      <c r="EL11" s="856"/>
      <c r="EM11" s="856"/>
      <c r="EN11" s="856"/>
      <c r="EO11" s="8" t="s">
        <v>1088</v>
      </c>
      <c r="EP11" s="1337"/>
      <c r="EQ11" s="1337"/>
      <c r="ER11" s="1343">
        <v>1323</v>
      </c>
      <c r="ES11" s="1337"/>
      <c r="ET11" s="1523"/>
      <c r="EU11" s="1523"/>
    </row>
    <row r="12" spans="1:151" ht="14.25" customHeight="1">
      <c r="A12" s="20" t="s">
        <v>525</v>
      </c>
      <c r="B12" s="21" t="s">
        <v>523</v>
      </c>
      <c r="C12" s="22" t="s">
        <v>8</v>
      </c>
      <c r="D12" s="23" t="s">
        <v>25</v>
      </c>
      <c r="E12" s="21" t="s">
        <v>25</v>
      </c>
      <c r="F12" s="21">
        <v>31</v>
      </c>
      <c r="G12" s="6"/>
      <c r="H12" s="229"/>
      <c r="I12" s="195" t="s">
        <v>1105</v>
      </c>
      <c r="J12" s="196" t="s">
        <v>1086</v>
      </c>
      <c r="K12" s="196" t="s">
        <v>1106</v>
      </c>
      <c r="L12" s="196" t="s">
        <v>1125</v>
      </c>
      <c r="M12" s="196" t="s">
        <v>656</v>
      </c>
      <c r="N12" s="196" t="s">
        <v>672</v>
      </c>
      <c r="O12" s="194" t="s">
        <v>289</v>
      </c>
      <c r="P12" s="196" t="s">
        <v>57</v>
      </c>
      <c r="Q12" s="196" t="s">
        <v>58</v>
      </c>
      <c r="R12" s="196" t="s">
        <v>125</v>
      </c>
      <c r="S12" s="196"/>
      <c r="T12" s="196"/>
      <c r="U12" s="196"/>
      <c r="V12" s="196"/>
      <c r="W12" s="196"/>
      <c r="X12" s="202"/>
      <c r="Y12" s="204" t="s">
        <v>182</v>
      </c>
      <c r="Z12" s="194" t="s">
        <v>183</v>
      </c>
      <c r="AA12" s="194" t="s">
        <v>184</v>
      </c>
      <c r="AB12" s="194" t="s">
        <v>185</v>
      </c>
      <c r="AC12" s="196"/>
      <c r="AD12" s="196"/>
      <c r="AE12" s="196"/>
      <c r="AF12" s="202"/>
      <c r="AG12" s="215"/>
      <c r="AH12" s="196"/>
      <c r="AI12" s="196"/>
      <c r="AJ12" s="216"/>
      <c r="AK12" s="195"/>
      <c r="AL12" s="196"/>
      <c r="AM12" s="196"/>
      <c r="AN12" s="202"/>
      <c r="AO12" s="283">
        <v>0</v>
      </c>
      <c r="AP12" s="168">
        <v>0</v>
      </c>
      <c r="AQ12" s="168">
        <v>0</v>
      </c>
      <c r="AR12" s="167">
        <v>0</v>
      </c>
      <c r="AS12" s="382" t="s">
        <v>1089</v>
      </c>
      <c r="AT12" s="216"/>
      <c r="AU12" s="215"/>
      <c r="AV12" s="216"/>
      <c r="AW12" s="215"/>
      <c r="AX12" s="216"/>
      <c r="AY12" s="136">
        <f t="shared" si="1"/>
        <v>0</v>
      </c>
      <c r="AZ12" s="137">
        <f t="shared" si="1"/>
        <v>0</v>
      </c>
      <c r="BA12" s="137">
        <f t="shared" si="1"/>
        <v>0</v>
      </c>
      <c r="BB12" s="137">
        <f t="shared" si="1"/>
        <v>0</v>
      </c>
      <c r="BC12" s="135" t="str">
        <f>IF(ISNUMBER(X12),X12," - ")</f>
        <v xml:space="preserve"> - </v>
      </c>
      <c r="BD12" s="136" t="str">
        <f t="shared" si="2"/>
        <v xml:space="preserve"> - </v>
      </c>
      <c r="BE12" s="137" t="str">
        <f t="shared" si="3"/>
        <v xml:space="preserve"> - </v>
      </c>
      <c r="BF12" s="137" t="str">
        <f t="shared" si="4"/>
        <v xml:space="preserve"> - </v>
      </c>
      <c r="BG12" s="209" t="str">
        <f t="shared" si="5"/>
        <v xml:space="preserve"> - </v>
      </c>
      <c r="BH12" s="168">
        <v>0</v>
      </c>
      <c r="BI12" s="168"/>
      <c r="BJ12" s="215"/>
      <c r="BK12" s="168"/>
      <c r="BL12" s="168"/>
      <c r="BM12" s="168">
        <v>380</v>
      </c>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v>1088</v>
      </c>
      <c r="CO12" s="170">
        <v>2880</v>
      </c>
      <c r="CP12" s="169">
        <v>1088</v>
      </c>
      <c r="CQ12" s="169"/>
      <c r="CR12" s="169"/>
      <c r="CS12" s="170"/>
      <c r="CT12" s="170"/>
      <c r="CU12" s="170"/>
      <c r="CV12" s="169"/>
      <c r="CW12" s="169"/>
      <c r="CX12" s="67"/>
      <c r="CY12" s="169"/>
      <c r="CZ12" s="169"/>
      <c r="DA12" s="169"/>
      <c r="DB12" s="352"/>
      <c r="DC12" s="352"/>
      <c r="DD12" s="169"/>
      <c r="DE12" s="169"/>
      <c r="DF12" s="169"/>
      <c r="DG12" s="534"/>
      <c r="DH12" s="169"/>
      <c r="DI12" s="169"/>
      <c r="DJ12" s="169"/>
      <c r="DK12" s="169"/>
      <c r="DL12" s="169"/>
      <c r="DM12" s="169"/>
      <c r="DN12" s="169"/>
      <c r="DO12" s="169"/>
      <c r="DP12" s="169"/>
      <c r="DQ12" s="169"/>
      <c r="DR12" s="169"/>
      <c r="DS12" s="169"/>
      <c r="DT12" s="169"/>
      <c r="DU12" s="169"/>
      <c r="DV12" s="850"/>
      <c r="DW12" s="850"/>
      <c r="DX12" s="850"/>
      <c r="DY12" s="850"/>
      <c r="DZ12" s="169"/>
      <c r="EA12" s="169"/>
      <c r="EB12" s="315"/>
      <c r="EC12" s="315"/>
      <c r="ED12" s="315"/>
      <c r="EE12" s="315"/>
      <c r="EF12" s="315"/>
      <c r="EG12" s="315"/>
      <c r="EH12" s="315"/>
      <c r="EI12" s="315"/>
      <c r="EJ12" s="315"/>
      <c r="EK12" s="315"/>
      <c r="EL12" s="856"/>
      <c r="EM12" s="856"/>
      <c r="EN12" s="856"/>
      <c r="EO12" s="8" t="s">
        <v>1090</v>
      </c>
      <c r="EP12" s="1338"/>
      <c r="EQ12" s="1338"/>
      <c r="ER12" s="1341">
        <v>680</v>
      </c>
      <c r="ES12" s="1338"/>
      <c r="ET12" s="1523"/>
      <c r="EU12" s="1523"/>
    </row>
    <row r="13" spans="1:151" ht="14.25" customHeight="1">
      <c r="A13" s="20" t="s">
        <v>145</v>
      </c>
      <c r="B13" s="21" t="s">
        <v>523</v>
      </c>
      <c r="C13" s="22" t="s">
        <v>8</v>
      </c>
      <c r="D13" s="23" t="s">
        <v>28</v>
      </c>
      <c r="E13" s="21" t="s">
        <v>28</v>
      </c>
      <c r="F13" s="21" t="s">
        <v>104</v>
      </c>
      <c r="G13" s="6"/>
      <c r="H13" s="229"/>
      <c r="I13" s="195" t="s">
        <v>141</v>
      </c>
      <c r="J13" s="196" t="s">
        <v>142</v>
      </c>
      <c r="K13" s="196" t="s">
        <v>143</v>
      </c>
      <c r="L13" s="196" t="s">
        <v>144</v>
      </c>
      <c r="M13" s="196" t="s">
        <v>140</v>
      </c>
      <c r="N13" s="196" t="s">
        <v>674</v>
      </c>
      <c r="O13" s="196" t="s">
        <v>297</v>
      </c>
      <c r="P13" s="196" t="s">
        <v>199</v>
      </c>
      <c r="Q13" s="196" t="s">
        <v>201</v>
      </c>
      <c r="R13" s="196" t="s">
        <v>200</v>
      </c>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v>0</v>
      </c>
      <c r="AP13" s="168">
        <v>0</v>
      </c>
      <c r="AQ13" s="168">
        <v>0</v>
      </c>
      <c r="AR13" s="168">
        <v>0</v>
      </c>
      <c r="AS13" s="382" t="str">
        <f>IF( Año&lt;2006,"TCIVI251","")</f>
        <v/>
      </c>
      <c r="AT13" s="216"/>
      <c r="AU13" s="215"/>
      <c r="AV13" s="216"/>
      <c r="AW13" s="215"/>
      <c r="AX13" s="216"/>
      <c r="AY13" s="138" t="str">
        <f t="shared" ref="AY13:BC13" si="6">IF(ISNUMBER(S13),S13," - ")</f>
        <v xml:space="preserve"> - </v>
      </c>
      <c r="AZ13" s="139" t="str">
        <f t="shared" si="6"/>
        <v xml:space="preserve"> - </v>
      </c>
      <c r="BA13" s="139" t="str">
        <f t="shared" si="6"/>
        <v xml:space="preserve"> - </v>
      </c>
      <c r="BB13" s="139" t="str">
        <f t="shared" si="6"/>
        <v xml:space="preserve"> - </v>
      </c>
      <c r="BC13" s="135" t="str">
        <f t="shared" si="6"/>
        <v xml:space="preserve"> - </v>
      </c>
      <c r="BD13" s="136" t="str">
        <f t="shared" si="2"/>
        <v xml:space="preserve"> - </v>
      </c>
      <c r="BE13" s="137" t="str">
        <f t="shared" si="3"/>
        <v xml:space="preserve"> - </v>
      </c>
      <c r="BF13" s="137" t="str">
        <f t="shared" si="4"/>
        <v xml:space="preserve"> - </v>
      </c>
      <c r="BG13" s="209" t="str">
        <f t="shared" si="5"/>
        <v xml:space="preserve"> - </v>
      </c>
      <c r="BH13" s="168">
        <v>0</v>
      </c>
      <c r="BI13" s="168"/>
      <c r="BJ13" s="215"/>
      <c r="BK13" s="168"/>
      <c r="BL13" s="168"/>
      <c r="BM13" s="168">
        <v>0</v>
      </c>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v>1262</v>
      </c>
      <c r="CO13" s="170"/>
      <c r="CP13" s="170">
        <v>1262</v>
      </c>
      <c r="CQ13" s="170"/>
      <c r="CR13" s="170"/>
      <c r="CS13" s="170"/>
      <c r="CT13" s="170"/>
      <c r="CU13" s="170"/>
      <c r="CV13" s="169"/>
      <c r="CW13" s="169"/>
      <c r="CX13" s="67"/>
      <c r="CY13" s="169"/>
      <c r="CZ13" s="169"/>
      <c r="DA13" s="169"/>
      <c r="DB13" s="160"/>
      <c r="DC13" s="356"/>
      <c r="DD13" s="169"/>
      <c r="DE13" s="169"/>
      <c r="DF13" s="169"/>
      <c r="DG13" s="534"/>
      <c r="DH13" s="170"/>
      <c r="DI13" s="170"/>
      <c r="DJ13" s="170"/>
      <c r="DK13" s="170"/>
      <c r="DL13" s="170"/>
      <c r="DM13" s="169"/>
      <c r="DN13" s="169"/>
      <c r="DO13" s="169"/>
      <c r="DP13" s="169"/>
      <c r="DQ13" s="169"/>
      <c r="DR13" s="169"/>
      <c r="DS13" s="169"/>
      <c r="DT13" s="169"/>
      <c r="DU13" s="169"/>
      <c r="DV13" s="850"/>
      <c r="DW13" s="850"/>
      <c r="DX13" s="850"/>
      <c r="DY13" s="850"/>
      <c r="DZ13" s="169"/>
      <c r="EA13" s="169"/>
      <c r="EB13" s="315"/>
      <c r="EC13" s="315"/>
      <c r="ED13" s="315"/>
      <c r="EE13" s="315"/>
      <c r="EF13" s="315"/>
      <c r="EG13" s="315"/>
      <c r="EH13" s="315"/>
      <c r="EI13" s="315"/>
      <c r="EJ13" s="315"/>
      <c r="EK13" s="315"/>
      <c r="EL13" s="187"/>
      <c r="EM13" s="187"/>
      <c r="EN13" s="187"/>
      <c r="EO13" s="1350" t="s">
        <v>142</v>
      </c>
      <c r="EP13" s="1339"/>
      <c r="EQ13" s="1339"/>
      <c r="ER13" s="1343">
        <v>875</v>
      </c>
      <c r="ES13" s="1339"/>
      <c r="ET13" s="1523"/>
      <c r="EU13" s="1523"/>
    </row>
    <row r="14" spans="1:151" ht="14.25" customHeight="1" thickBot="1">
      <c r="A14" s="77" t="s">
        <v>5</v>
      </c>
      <c r="B14" s="78" t="s">
        <v>523</v>
      </c>
      <c r="C14" s="79" t="s">
        <v>9</v>
      </c>
      <c r="D14" s="80"/>
      <c r="E14" s="81"/>
      <c r="F14" s="81"/>
      <c r="G14" s="82"/>
      <c r="H14" s="83"/>
      <c r="I14" s="197">
        <f t="shared" ref="I14:AE14" si="7">SUBTOTAL(9,I8:I13)</f>
        <v>26132</v>
      </c>
      <c r="J14" s="197">
        <f t="shared" si="7"/>
        <v>39077</v>
      </c>
      <c r="K14" s="197">
        <f t="shared" si="7"/>
        <v>40976</v>
      </c>
      <c r="L14" s="197">
        <f t="shared" si="7"/>
        <v>25989</v>
      </c>
      <c r="M14" s="197">
        <f t="shared" si="7"/>
        <v>11947</v>
      </c>
      <c r="N14" s="197">
        <f t="shared" si="7"/>
        <v>21999</v>
      </c>
      <c r="O14" s="197">
        <f t="shared" si="7"/>
        <v>15425</v>
      </c>
      <c r="P14" s="197">
        <f t="shared" si="7"/>
        <v>7702</v>
      </c>
      <c r="Q14" s="197">
        <f t="shared" si="7"/>
        <v>10112</v>
      </c>
      <c r="R14" s="197">
        <f t="shared" si="7"/>
        <v>24402</v>
      </c>
      <c r="S14" s="197">
        <f t="shared" si="7"/>
        <v>24272</v>
      </c>
      <c r="T14" s="197">
        <f t="shared" si="7"/>
        <v>34458</v>
      </c>
      <c r="U14" s="197">
        <f t="shared" si="7"/>
        <v>32573</v>
      </c>
      <c r="V14" s="197">
        <f t="shared" si="7"/>
        <v>26132</v>
      </c>
      <c r="W14" s="197">
        <f t="shared" si="7"/>
        <v>8295</v>
      </c>
      <c r="X14" s="197">
        <f t="shared" si="7"/>
        <v>18723</v>
      </c>
      <c r="Y14" s="197">
        <f t="shared" si="7"/>
        <v>451</v>
      </c>
      <c r="Z14" s="197">
        <f t="shared" si="7"/>
        <v>4536</v>
      </c>
      <c r="AA14" s="197">
        <f t="shared" si="7"/>
        <v>4251</v>
      </c>
      <c r="AB14" s="197">
        <f t="shared" si="7"/>
        <v>756</v>
      </c>
      <c r="AC14" s="197">
        <f t="shared" si="7"/>
        <v>0</v>
      </c>
      <c r="AD14" s="197">
        <f t="shared" si="7"/>
        <v>0</v>
      </c>
      <c r="AE14" s="197">
        <f t="shared" si="7"/>
        <v>0</v>
      </c>
      <c r="AF14" s="197">
        <f>SUBTOTAL(9,AF9:AF13)</f>
        <v>0</v>
      </c>
      <c r="AG14" s="197">
        <f t="shared" ref="AG14:AT14" si="8">SUBTOTAL(9,AG8:AG13)</f>
        <v>567</v>
      </c>
      <c r="AH14" s="197">
        <f t="shared" si="8"/>
        <v>3419</v>
      </c>
      <c r="AI14" s="197">
        <f t="shared" si="8"/>
        <v>3535</v>
      </c>
      <c r="AJ14" s="197">
        <f t="shared" si="8"/>
        <v>451</v>
      </c>
      <c r="AK14" s="197">
        <f t="shared" si="8"/>
        <v>0</v>
      </c>
      <c r="AL14" s="197">
        <f t="shared" si="8"/>
        <v>0</v>
      </c>
      <c r="AM14" s="197">
        <f t="shared" si="8"/>
        <v>0</v>
      </c>
      <c r="AN14" s="197">
        <f t="shared" si="8"/>
        <v>0</v>
      </c>
      <c r="AO14" s="197">
        <f t="shared" si="8"/>
        <v>24</v>
      </c>
      <c r="AP14" s="197">
        <f t="shared" si="8"/>
        <v>24</v>
      </c>
      <c r="AQ14" s="197">
        <f t="shared" si="8"/>
        <v>24</v>
      </c>
      <c r="AR14" s="197">
        <f t="shared" si="8"/>
        <v>24</v>
      </c>
      <c r="AS14" s="197">
        <f t="shared" si="8"/>
        <v>0</v>
      </c>
      <c r="AT14" s="197">
        <f t="shared" si="8"/>
        <v>0</v>
      </c>
      <c r="AU14" s="217"/>
      <c r="AV14" s="142"/>
      <c r="AW14" s="217"/>
      <c r="AX14" s="142"/>
      <c r="AY14" s="197">
        <f>SUBTOTAL(9,AY8:AY13)</f>
        <v>24839</v>
      </c>
      <c r="AZ14" s="197">
        <f>SUBTOTAL(9,AZ8:AZ13)</f>
        <v>37877</v>
      </c>
      <c r="BA14" s="197">
        <f>SUBTOTAL(9,BA8:BA13)</f>
        <v>36108</v>
      </c>
      <c r="BB14" s="197">
        <f>SUBTOTAL(9,BB8:BB13)</f>
        <v>26583</v>
      </c>
      <c r="BC14" s="197">
        <f>SUBTOTAL(9,BC8:BC13)</f>
        <v>18574</v>
      </c>
      <c r="BD14" s="219">
        <f>IF(ISNUMBER(BA14/AZ14),BA14/AZ14," - ")</f>
        <v>0.95329619558043144</v>
      </c>
      <c r="BE14" s="220">
        <f>IF(ISNUMBER(BB14/BA14),BB14/BA14, " - ")</f>
        <v>0.73620804253904948</v>
      </c>
      <c r="BF14" s="220">
        <f>IF(ISNUMBER(BC14/BA14),BC14/BA14, " - ")</f>
        <v>0.51440124072227766</v>
      </c>
      <c r="BG14" s="221">
        <f>IF(ISNUMBER((AY14+AZ14)/BA14),(AY14+AZ14)/BA14," - ")</f>
        <v>1.7369004098814667</v>
      </c>
      <c r="BH14" s="153">
        <f>SUBTOTAL(9,BH8:BH13)</f>
        <v>24</v>
      </c>
      <c r="BI14" s="153">
        <f>SUBTOTAL(9,BI8:BI13)</f>
        <v>0</v>
      </c>
      <c r="BJ14" s="153">
        <f>SUBTOTAL(9,BJ8:BJ13)</f>
        <v>0</v>
      </c>
      <c r="BK14" s="153">
        <f>SUBTOTAL(9,BK8:BK13)</f>
        <v>0</v>
      </c>
      <c r="BL14" s="153">
        <f>SUBTOTAL(9,BL8:BL13)</f>
        <v>0</v>
      </c>
      <c r="BM14" s="153">
        <f>AVERAGE(BM8:BM13)</f>
        <v>420</v>
      </c>
      <c r="BN14" s="153"/>
      <c r="BO14" s="153"/>
      <c r="BP14" s="153"/>
      <c r="BQ14" s="153"/>
      <c r="BR14" s="153"/>
      <c r="BS14" s="153"/>
      <c r="BT14" s="153"/>
      <c r="BU14" s="153"/>
      <c r="BV14" s="153"/>
      <c r="BW14" s="153"/>
      <c r="BX14" s="153"/>
      <c r="BY14" s="164"/>
      <c r="BZ14" s="164"/>
      <c r="CA14" s="153">
        <f t="shared" ref="CA14:CL14" si="9">SUBTOTAL(9,CA8:CA13)</f>
        <v>0</v>
      </c>
      <c r="CB14" s="153">
        <f t="shared" si="9"/>
        <v>0</v>
      </c>
      <c r="CC14" s="153">
        <f t="shared" si="9"/>
        <v>0</v>
      </c>
      <c r="CD14" s="153">
        <f t="shared" si="9"/>
        <v>0</v>
      </c>
      <c r="CE14" s="153">
        <f t="shared" si="9"/>
        <v>0</v>
      </c>
      <c r="CF14" s="153">
        <f t="shared" si="9"/>
        <v>0</v>
      </c>
      <c r="CG14" s="153">
        <f t="shared" si="9"/>
        <v>0</v>
      </c>
      <c r="CH14" s="153">
        <f t="shared" si="9"/>
        <v>0</v>
      </c>
      <c r="CI14" s="153">
        <f t="shared" si="9"/>
        <v>0</v>
      </c>
      <c r="CJ14" s="153">
        <f t="shared" si="9"/>
        <v>0</v>
      </c>
      <c r="CK14" s="153">
        <f t="shared" si="9"/>
        <v>0</v>
      </c>
      <c r="CL14" s="153">
        <f t="shared" si="9"/>
        <v>0</v>
      </c>
      <c r="CM14" s="153"/>
      <c r="CN14" s="164">
        <f>AVERAGE(CN8:CN13)</f>
        <v>1140.2</v>
      </c>
      <c r="CO14" s="164">
        <f>AVERAGE(CO8:CO13)</f>
        <v>1150</v>
      </c>
      <c r="CP14" s="164">
        <f>AVERAGE(CP8:CP13)</f>
        <v>1140.2</v>
      </c>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SUBTOTAL(9,EL8:EL13)</f>
        <v>0</v>
      </c>
      <c r="EM14" s="153">
        <f>SUBTOTAL(9,EM8:EM13)</f>
        <v>0</v>
      </c>
      <c r="EN14" s="153">
        <f>SUBTOTAL(9,EN8:EN13)</f>
        <v>0</v>
      </c>
      <c r="EO14" s="1348"/>
      <c r="EP14" s="164">
        <f>SUBTOTAL(9,EP8:EP13)</f>
        <v>0</v>
      </c>
      <c r="EQ14" s="164">
        <f>SUBTOTAL(9,EQ8:EQ13)</f>
        <v>0</v>
      </c>
      <c r="ER14" s="164">
        <f>AVERAGE(ER8:ER13)</f>
        <v>971</v>
      </c>
      <c r="ES14" s="164">
        <f>SUBTOTAL(9,ES8:ES13)</f>
        <v>0</v>
      </c>
      <c r="ET14" s="1524"/>
      <c r="EU14" s="1524"/>
    </row>
    <row r="15" spans="1:151" ht="14.25" customHeight="1" thickBot="1">
      <c r="A15" s="73" t="s">
        <v>147</v>
      </c>
      <c r="B15" s="85" t="s">
        <v>523</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80"/>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1349"/>
      <c r="EP15" s="380"/>
      <c r="EQ15" s="380"/>
      <c r="ER15" s="380"/>
      <c r="ES15" s="380"/>
      <c r="ET15" s="196"/>
      <c r="EU15" s="196"/>
    </row>
    <row r="16" spans="1:151" ht="14.25" customHeight="1">
      <c r="A16" s="7" t="s">
        <v>526</v>
      </c>
      <c r="B16" s="21" t="s">
        <v>523</v>
      </c>
      <c r="C16" s="22" t="s">
        <v>8</v>
      </c>
      <c r="D16" s="23" t="s">
        <v>25</v>
      </c>
      <c r="E16" s="21" t="s">
        <v>27</v>
      </c>
      <c r="F16" s="21">
        <v>33</v>
      </c>
      <c r="G16" s="6"/>
      <c r="H16" s="24"/>
      <c r="I16" s="195">
        <v>5463</v>
      </c>
      <c r="J16" s="196">
        <v>70176</v>
      </c>
      <c r="K16" s="196">
        <v>71221</v>
      </c>
      <c r="L16" s="196">
        <v>5067</v>
      </c>
      <c r="M16" s="196">
        <v>5659</v>
      </c>
      <c r="N16" s="196">
        <v>52679</v>
      </c>
      <c r="O16" s="194">
        <v>687</v>
      </c>
      <c r="P16" s="196">
        <v>1971</v>
      </c>
      <c r="Q16" s="196">
        <v>1980</v>
      </c>
      <c r="R16" s="196">
        <v>1106</v>
      </c>
      <c r="S16" s="196">
        <v>4664</v>
      </c>
      <c r="T16" s="196">
        <v>60503</v>
      </c>
      <c r="U16" s="196">
        <v>60200</v>
      </c>
      <c r="V16" s="196">
        <v>5463</v>
      </c>
      <c r="W16" s="196">
        <v>4144</v>
      </c>
      <c r="X16" s="202">
        <v>44009</v>
      </c>
      <c r="Y16" s="215">
        <v>0</v>
      </c>
      <c r="Z16" s="196">
        <v>0</v>
      </c>
      <c r="AA16" s="196">
        <v>0</v>
      </c>
      <c r="AB16" s="196">
        <v>0</v>
      </c>
      <c r="AC16" s="196">
        <v>6</v>
      </c>
      <c r="AD16" s="196">
        <v>538</v>
      </c>
      <c r="AE16" s="196">
        <v>543</v>
      </c>
      <c r="AF16" s="202">
        <v>1</v>
      </c>
      <c r="AG16" s="215">
        <v>0</v>
      </c>
      <c r="AH16" s="196">
        <v>0</v>
      </c>
      <c r="AI16" s="196">
        <v>0</v>
      </c>
      <c r="AJ16" s="216">
        <v>0</v>
      </c>
      <c r="AK16" s="195">
        <v>5</v>
      </c>
      <c r="AL16" s="196">
        <v>205</v>
      </c>
      <c r="AM16" s="196">
        <v>204</v>
      </c>
      <c r="AN16" s="202">
        <v>6</v>
      </c>
      <c r="AO16" s="283">
        <v>14</v>
      </c>
      <c r="AP16" s="168">
        <v>14</v>
      </c>
      <c r="AQ16" s="168">
        <v>14</v>
      </c>
      <c r="AR16" s="168">
        <v>14</v>
      </c>
      <c r="AS16" s="382" t="s">
        <v>707</v>
      </c>
      <c r="AT16" s="216" t="s">
        <v>428</v>
      </c>
      <c r="AU16" s="215"/>
      <c r="AV16" s="216"/>
      <c r="AW16" s="215"/>
      <c r="AX16" s="216"/>
      <c r="AY16" s="138">
        <f t="shared" ref="AY16:BB17" si="10">IF(ISNUMBER(IF(D_I="SI",S16,S16+AK16)),IF(D_I="SI",S16,S16+AK16)," - ")</f>
        <v>4664</v>
      </c>
      <c r="AZ16" s="139">
        <f t="shared" si="10"/>
        <v>60503</v>
      </c>
      <c r="BA16" s="139">
        <f t="shared" si="10"/>
        <v>60200</v>
      </c>
      <c r="BB16" s="139">
        <f t="shared" si="10"/>
        <v>5463</v>
      </c>
      <c r="BC16" s="135">
        <f>IF(ISNUMBER(W16),W16," - ")</f>
        <v>4144</v>
      </c>
      <c r="BD16" s="136">
        <f>IF(ISNUMBER(BA16/AZ16),BA16/AZ16," - ")</f>
        <v>0.99499198386856846</v>
      </c>
      <c r="BE16" s="137">
        <f>IF(ISNUMBER(BB16/BA16),BB16/BA16, " - ")</f>
        <v>9.0747508305647845E-2</v>
      </c>
      <c r="BF16" s="137">
        <f>IF(ISNUMBER(BC16/BA16),BC16/BA16, " - ")</f>
        <v>6.8837209302325578E-2</v>
      </c>
      <c r="BG16" s="209">
        <f t="shared" ref="BG16:BG22" si="11">IF(ISNUMBER((AY16+AZ16)/BA16),(AY16+AZ16)/BA16," - ")</f>
        <v>1.0825083056478406</v>
      </c>
      <c r="BH16" s="168">
        <v>14</v>
      </c>
      <c r="BI16" s="168"/>
      <c r="BJ16" s="215"/>
      <c r="BK16" s="168"/>
      <c r="BL16" s="168"/>
      <c r="BM16" s="168">
        <v>6650</v>
      </c>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v>1262</v>
      </c>
      <c r="CO16" s="168">
        <v>6600</v>
      </c>
      <c r="CP16" s="168">
        <v>1262</v>
      </c>
      <c r="CQ16" s="168"/>
      <c r="CR16" s="168"/>
      <c r="CS16" s="168"/>
      <c r="CT16" s="168"/>
      <c r="CU16" s="168"/>
      <c r="CV16" s="169"/>
      <c r="CW16" s="169"/>
      <c r="CX16" s="67"/>
      <c r="CY16" s="169"/>
      <c r="CZ16" s="169"/>
      <c r="DA16" s="169"/>
      <c r="DB16" s="160"/>
      <c r="DC16" s="356"/>
      <c r="DD16" s="169"/>
      <c r="DE16" s="169"/>
      <c r="DF16" s="169"/>
      <c r="DG16" s="534"/>
      <c r="DH16" s="168"/>
      <c r="DI16" s="168"/>
      <c r="DJ16" s="168"/>
      <c r="DK16" s="168"/>
      <c r="DL16" s="168"/>
      <c r="DM16" s="169"/>
      <c r="DN16" s="169"/>
      <c r="DO16" s="169"/>
      <c r="DP16" s="169"/>
      <c r="DQ16" s="169"/>
      <c r="DR16" s="169"/>
      <c r="DS16" s="169"/>
      <c r="DT16" s="169"/>
      <c r="DU16" s="169"/>
      <c r="DV16" s="850"/>
      <c r="DW16" s="850"/>
      <c r="DX16" s="850"/>
      <c r="DY16" s="850"/>
      <c r="DZ16" s="169"/>
      <c r="EA16" s="169"/>
      <c r="EB16" s="168"/>
      <c r="EC16" s="168"/>
      <c r="ED16" s="168"/>
      <c r="EE16" s="168"/>
      <c r="EF16" s="168"/>
      <c r="EG16" s="168"/>
      <c r="EH16" s="168"/>
      <c r="EI16" s="168"/>
      <c r="EJ16" s="168"/>
      <c r="EK16" s="168"/>
      <c r="EL16" s="791"/>
      <c r="EM16" s="791"/>
      <c r="EN16" s="791"/>
      <c r="EO16" s="8" t="s">
        <v>1091</v>
      </c>
      <c r="EP16" s="1337"/>
      <c r="EQ16" s="1337"/>
      <c r="ER16" s="1343">
        <v>3300</v>
      </c>
      <c r="ES16" s="1337"/>
      <c r="ET16" s="1523"/>
      <c r="EU16" s="1523"/>
    </row>
    <row r="17" spans="1:151" ht="14.25" customHeight="1">
      <c r="A17" s="7" t="s">
        <v>525</v>
      </c>
      <c r="B17" s="21" t="s">
        <v>523</v>
      </c>
      <c r="C17" s="22" t="s">
        <v>8</v>
      </c>
      <c r="D17" s="23" t="s">
        <v>25</v>
      </c>
      <c r="E17" s="21" t="s">
        <v>25</v>
      </c>
      <c r="F17" s="21">
        <v>31</v>
      </c>
      <c r="G17" s="6"/>
      <c r="H17" s="24"/>
      <c r="I17" s="195" t="s">
        <v>654</v>
      </c>
      <c r="J17" s="196" t="s">
        <v>650</v>
      </c>
      <c r="K17" s="196" t="s">
        <v>651</v>
      </c>
      <c r="L17" s="196" t="s">
        <v>652</v>
      </c>
      <c r="M17" s="196" t="s">
        <v>658</v>
      </c>
      <c r="N17" s="196" t="s">
        <v>203</v>
      </c>
      <c r="O17" s="194" t="s">
        <v>290</v>
      </c>
      <c r="P17" s="196" t="s">
        <v>636</v>
      </c>
      <c r="Q17" s="196" t="s">
        <v>637</v>
      </c>
      <c r="R17" s="196" t="s">
        <v>638</v>
      </c>
      <c r="S17" s="196"/>
      <c r="T17" s="196"/>
      <c r="U17" s="196"/>
      <c r="V17" s="196"/>
      <c r="W17" s="196"/>
      <c r="X17" s="202"/>
      <c r="Y17" s="215"/>
      <c r="Z17" s="196"/>
      <c r="AA17" s="196"/>
      <c r="AB17" s="196"/>
      <c r="AC17" s="196" t="s">
        <v>66</v>
      </c>
      <c r="AD17" s="196" t="s">
        <v>75</v>
      </c>
      <c r="AE17" s="196" t="s">
        <v>76</v>
      </c>
      <c r="AF17" s="202" t="s">
        <v>77</v>
      </c>
      <c r="AG17" s="215"/>
      <c r="AH17" s="196"/>
      <c r="AI17" s="196"/>
      <c r="AJ17" s="216"/>
      <c r="AK17" s="195"/>
      <c r="AL17" s="196"/>
      <c r="AM17" s="196"/>
      <c r="AN17" s="202"/>
      <c r="AO17" s="283">
        <v>0</v>
      </c>
      <c r="AP17" s="168">
        <v>0</v>
      </c>
      <c r="AQ17" s="168">
        <v>0</v>
      </c>
      <c r="AR17" s="168">
        <v>0</v>
      </c>
      <c r="AS17" s="382" t="s">
        <v>653</v>
      </c>
      <c r="AT17" s="216"/>
      <c r="AU17" s="215"/>
      <c r="AV17" s="216"/>
      <c r="AW17" s="215"/>
      <c r="AX17" s="216"/>
      <c r="AY17" s="136" t="str">
        <f t="shared" si="10"/>
        <v xml:space="preserve"> - </v>
      </c>
      <c r="AZ17" s="137" t="str">
        <f t="shared" si="10"/>
        <v xml:space="preserve"> - </v>
      </c>
      <c r="BA17" s="137" t="str">
        <f t="shared" si="10"/>
        <v xml:space="preserve"> - </v>
      </c>
      <c r="BB17" s="137" t="str">
        <f t="shared" si="10"/>
        <v xml:space="preserve"> - </v>
      </c>
      <c r="BC17" s="135" t="str">
        <f>IF(ISNUMBER(W17),W17," - ")</f>
        <v xml:space="preserve"> - </v>
      </c>
      <c r="BD17" s="136" t="str">
        <f t="shared" ref="BD17:BD22" si="12">IF(ISNUMBER(BA17/AZ17),BA17/AZ17," - ")</f>
        <v xml:space="preserve"> - </v>
      </c>
      <c r="BE17" s="137" t="str">
        <f t="shared" ref="BE17:BE22" si="13">IF(ISNUMBER(BB17/BA17),BB17/BA17, " - ")</f>
        <v xml:space="preserve"> - </v>
      </c>
      <c r="BF17" s="137" t="str">
        <f t="shared" ref="BF17:BF22" si="14">IF(ISNUMBER(BC17/BA17),BC17/BA17, " - ")</f>
        <v xml:space="preserve"> - </v>
      </c>
      <c r="BG17" s="209" t="str">
        <f t="shared" si="11"/>
        <v xml:space="preserve"> - </v>
      </c>
      <c r="BH17" s="168">
        <v>0</v>
      </c>
      <c r="BI17" s="168"/>
      <c r="BJ17" s="215"/>
      <c r="BK17" s="168"/>
      <c r="BL17" s="168"/>
      <c r="BM17" s="168">
        <v>2500</v>
      </c>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v>1088</v>
      </c>
      <c r="CO17" s="170">
        <v>2880</v>
      </c>
      <c r="CP17" s="168">
        <v>1088</v>
      </c>
      <c r="CQ17" s="168"/>
      <c r="CR17" s="168"/>
      <c r="CS17" s="170"/>
      <c r="CT17" s="170"/>
      <c r="CU17" s="170"/>
      <c r="CV17" s="169"/>
      <c r="CW17" s="169"/>
      <c r="CX17" s="67"/>
      <c r="CY17" s="169"/>
      <c r="CZ17" s="169"/>
      <c r="DA17" s="169"/>
      <c r="DB17" s="160"/>
      <c r="DC17" s="356"/>
      <c r="DD17" s="169"/>
      <c r="DE17" s="169"/>
      <c r="DF17" s="169"/>
      <c r="DG17" s="534"/>
      <c r="DH17" s="168"/>
      <c r="DI17" s="168"/>
      <c r="DJ17" s="168"/>
      <c r="DK17" s="168"/>
      <c r="DL17" s="168"/>
      <c r="DM17" s="169"/>
      <c r="DN17" s="169"/>
      <c r="DO17" s="169"/>
      <c r="DP17" s="169"/>
      <c r="DQ17" s="169"/>
      <c r="DR17" s="169"/>
      <c r="DS17" s="169"/>
      <c r="DT17" s="169"/>
      <c r="DU17" s="169"/>
      <c r="DV17" s="850"/>
      <c r="DW17" s="850"/>
      <c r="DX17" s="850"/>
      <c r="DY17" s="850"/>
      <c r="DZ17" s="169"/>
      <c r="EA17" s="169"/>
      <c r="EB17" s="168"/>
      <c r="EC17" s="168"/>
      <c r="ED17" s="168"/>
      <c r="EE17" s="168"/>
      <c r="EF17" s="168"/>
      <c r="EG17" s="168"/>
      <c r="EH17" s="168"/>
      <c r="EI17" s="168"/>
      <c r="EJ17" s="168"/>
      <c r="EK17" s="168"/>
      <c r="EL17" s="168"/>
      <c r="EM17" s="168"/>
      <c r="EN17" s="168"/>
      <c r="EO17" s="8" t="s">
        <v>1058</v>
      </c>
      <c r="EP17" s="1337"/>
      <c r="EQ17" s="1337"/>
      <c r="ER17" s="1343">
        <v>1000</v>
      </c>
      <c r="ES17" s="1337"/>
      <c r="ET17" s="1523"/>
      <c r="EU17" s="1523"/>
    </row>
    <row r="18" spans="1:151" ht="14.25" customHeight="1">
      <c r="A18" s="7" t="s">
        <v>191</v>
      </c>
      <c r="B18" s="21" t="s">
        <v>523</v>
      </c>
      <c r="C18" s="22" t="s">
        <v>8</v>
      </c>
      <c r="D18" s="23" t="s">
        <v>114</v>
      </c>
      <c r="E18" s="21" t="s">
        <v>114</v>
      </c>
      <c r="F18" s="21" t="s">
        <v>186</v>
      </c>
      <c r="G18" s="6"/>
      <c r="H18" s="24"/>
      <c r="I18" s="195">
        <v>726</v>
      </c>
      <c r="J18" s="196">
        <v>5037</v>
      </c>
      <c r="K18" s="196">
        <v>5190</v>
      </c>
      <c r="L18" s="196">
        <v>632</v>
      </c>
      <c r="M18" s="196">
        <v>251</v>
      </c>
      <c r="N18" s="196">
        <v>2856</v>
      </c>
      <c r="O18" s="196">
        <v>9</v>
      </c>
      <c r="P18" s="196">
        <v>35</v>
      </c>
      <c r="Q18" s="196">
        <v>27</v>
      </c>
      <c r="R18" s="196">
        <v>29</v>
      </c>
      <c r="S18" s="196">
        <v>562</v>
      </c>
      <c r="T18" s="196">
        <v>4907</v>
      </c>
      <c r="U18" s="196">
        <v>4754</v>
      </c>
      <c r="V18" s="196">
        <v>726</v>
      </c>
      <c r="W18" s="196">
        <v>167</v>
      </c>
      <c r="X18" s="202">
        <v>3040</v>
      </c>
      <c r="Y18" s="215">
        <v>0</v>
      </c>
      <c r="Z18" s="196">
        <v>0</v>
      </c>
      <c r="AA18" s="196">
        <v>0</v>
      </c>
      <c r="AB18" s="196">
        <v>0</v>
      </c>
      <c r="AC18" s="196">
        <v>0</v>
      </c>
      <c r="AD18" s="196">
        <v>0</v>
      </c>
      <c r="AE18" s="196">
        <v>0</v>
      </c>
      <c r="AF18" s="202">
        <v>0</v>
      </c>
      <c r="AG18" s="215">
        <v>0</v>
      </c>
      <c r="AH18" s="196">
        <v>0</v>
      </c>
      <c r="AI18" s="196">
        <v>0</v>
      </c>
      <c r="AJ18" s="216">
        <v>0</v>
      </c>
      <c r="AK18" s="195">
        <v>0</v>
      </c>
      <c r="AL18" s="196">
        <v>0</v>
      </c>
      <c r="AM18" s="196">
        <v>0</v>
      </c>
      <c r="AN18" s="202">
        <v>0</v>
      </c>
      <c r="AO18" s="283">
        <v>3</v>
      </c>
      <c r="AP18" s="168">
        <v>3</v>
      </c>
      <c r="AQ18" s="167">
        <v>3</v>
      </c>
      <c r="AR18" s="168">
        <v>3</v>
      </c>
      <c r="AS18" s="381" t="s">
        <v>1077</v>
      </c>
      <c r="AT18" s="223"/>
      <c r="AU18" s="213"/>
      <c r="AV18" s="223"/>
      <c r="AW18" s="213"/>
      <c r="AX18" s="223"/>
      <c r="AY18" s="138">
        <f t="shared" ref="AY18:BB19" si="15">IF(ISNUMBER(S18),S18," - ")</f>
        <v>562</v>
      </c>
      <c r="AZ18" s="139">
        <f t="shared" si="15"/>
        <v>4907</v>
      </c>
      <c r="BA18" s="139">
        <f t="shared" si="15"/>
        <v>4754</v>
      </c>
      <c r="BB18" s="139">
        <f t="shared" si="15"/>
        <v>726</v>
      </c>
      <c r="BC18" s="135">
        <f>IF(ISNUMBER(W18),W18," - ")</f>
        <v>167</v>
      </c>
      <c r="BD18" s="136">
        <f>IF(ISNUMBER(BA18/AZ18),BA18/AZ18," - ")</f>
        <v>0.96882005298553087</v>
      </c>
      <c r="BE18" s="137">
        <f>IF(ISNUMBER(BB18/BA18),BB18/BA18, " - ")</f>
        <v>0.15271350441733278</v>
      </c>
      <c r="BF18" s="137">
        <f>IF(ISNUMBER(BC18/BA18),BC18/BA18, " - ")</f>
        <v>3.5128312999579303E-2</v>
      </c>
      <c r="BG18" s="209">
        <f>IF(ISNUMBER((AY18+AZ18)/BA18),(AY18+AZ18)/BA18," - ")</f>
        <v>1.1503996634413125</v>
      </c>
      <c r="BH18" s="168">
        <v>3</v>
      </c>
      <c r="BI18" s="168"/>
      <c r="BJ18" s="213"/>
      <c r="BK18" s="167"/>
      <c r="BL18" s="167"/>
      <c r="BM18" s="167">
        <v>1800</v>
      </c>
      <c r="BN18" s="167"/>
      <c r="BO18" s="167"/>
      <c r="BP18" s="167"/>
      <c r="BQ18" s="167"/>
      <c r="BR18" s="167"/>
      <c r="BS18" s="167"/>
      <c r="BT18" s="167"/>
      <c r="BU18" s="167"/>
      <c r="BV18" s="167"/>
      <c r="BW18" s="167"/>
      <c r="BX18" s="167"/>
      <c r="BY18" s="187" t="s">
        <v>947</v>
      </c>
      <c r="BZ18" s="187" t="s">
        <v>948</v>
      </c>
      <c r="CA18" s="167"/>
      <c r="CB18" s="167"/>
      <c r="CC18" s="167"/>
      <c r="CD18" s="167"/>
      <c r="CE18" s="167"/>
      <c r="CF18" s="167"/>
      <c r="CG18" s="167"/>
      <c r="CH18" s="167"/>
      <c r="CI18" s="167"/>
      <c r="CJ18" s="167"/>
      <c r="CK18" s="167"/>
      <c r="CL18" s="167"/>
      <c r="CM18" s="167"/>
      <c r="CN18" s="167">
        <v>1175</v>
      </c>
      <c r="CO18" s="167">
        <v>1800</v>
      </c>
      <c r="CP18" s="167">
        <v>1175</v>
      </c>
      <c r="CQ18" s="167"/>
      <c r="CR18" s="167"/>
      <c r="CS18" s="167"/>
      <c r="CT18" s="167"/>
      <c r="CU18" s="167"/>
      <c r="CV18" s="169"/>
      <c r="CW18" s="169"/>
      <c r="CX18" s="67"/>
      <c r="CY18" s="169"/>
      <c r="CZ18" s="169"/>
      <c r="DA18" s="169"/>
      <c r="DB18" s="355"/>
      <c r="DC18" s="361"/>
      <c r="DD18" s="169"/>
      <c r="DE18" s="362"/>
      <c r="DF18" s="362"/>
      <c r="DG18" s="534"/>
      <c r="DH18" s="167"/>
      <c r="DI18" s="167"/>
      <c r="DJ18" s="167"/>
      <c r="DK18" s="167"/>
      <c r="DL18" s="167"/>
      <c r="DM18" s="169"/>
      <c r="DN18" s="169"/>
      <c r="DO18" s="169"/>
      <c r="DP18" s="169"/>
      <c r="DQ18" s="169"/>
      <c r="DR18" s="169"/>
      <c r="DS18" s="169"/>
      <c r="DT18" s="169"/>
      <c r="DU18" s="169"/>
      <c r="DV18" s="850"/>
      <c r="DW18" s="850"/>
      <c r="DX18" s="850"/>
      <c r="DY18" s="850"/>
      <c r="DZ18" s="169"/>
      <c r="EA18" s="169"/>
      <c r="EB18" s="168"/>
      <c r="EC18" s="168"/>
      <c r="ED18" s="168"/>
      <c r="EE18" s="168"/>
      <c r="EF18" s="168"/>
      <c r="EG18" s="168"/>
      <c r="EH18" s="168"/>
      <c r="EI18" s="168"/>
      <c r="EJ18" s="168"/>
      <c r="EK18" s="168"/>
      <c r="EL18" s="168"/>
      <c r="EM18" s="168"/>
      <c r="EN18" s="168"/>
      <c r="EO18" s="1346" t="s">
        <v>1059</v>
      </c>
      <c r="EP18" s="381"/>
      <c r="EQ18" s="381"/>
      <c r="ER18" s="1342">
        <v>1600</v>
      </c>
      <c r="ES18" s="381"/>
      <c r="ET18" s="1523"/>
      <c r="EU18" s="1523"/>
    </row>
    <row r="19" spans="1:151" ht="14.25" customHeight="1">
      <c r="A19" s="7" t="s">
        <v>527</v>
      </c>
      <c r="B19" s="21" t="s">
        <v>523</v>
      </c>
      <c r="C19" s="22" t="s">
        <v>8</v>
      </c>
      <c r="D19" s="23" t="s">
        <v>28</v>
      </c>
      <c r="E19" s="21" t="s">
        <v>28</v>
      </c>
      <c r="F19" s="21">
        <v>26</v>
      </c>
      <c r="G19" s="6"/>
      <c r="H19" s="24"/>
      <c r="I19" s="195" t="s">
        <v>67</v>
      </c>
      <c r="J19" s="196" t="s">
        <v>149</v>
      </c>
      <c r="K19" s="196" t="s">
        <v>134</v>
      </c>
      <c r="L19" s="196" t="s">
        <v>135</v>
      </c>
      <c r="M19" s="196" t="s">
        <v>139</v>
      </c>
      <c r="N19" s="196" t="s">
        <v>213</v>
      </c>
      <c r="O19" s="196" t="s">
        <v>296</v>
      </c>
      <c r="P19" s="196" t="s">
        <v>198</v>
      </c>
      <c r="Q19" s="196" t="s">
        <v>202</v>
      </c>
      <c r="R19" s="196" t="s">
        <v>210</v>
      </c>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v>0</v>
      </c>
      <c r="AP19" s="168">
        <v>0</v>
      </c>
      <c r="AQ19" s="168">
        <v>0</v>
      </c>
      <c r="AR19" s="168">
        <v>0</v>
      </c>
      <c r="AS19" s="382" t="s">
        <v>434</v>
      </c>
      <c r="AT19" s="216"/>
      <c r="AU19" s="215"/>
      <c r="AV19" s="216"/>
      <c r="AW19" s="215"/>
      <c r="AX19" s="216"/>
      <c r="AY19" s="138" t="str">
        <f t="shared" si="15"/>
        <v xml:space="preserve"> - </v>
      </c>
      <c r="AZ19" s="139" t="str">
        <f t="shared" si="15"/>
        <v xml:space="preserve"> - </v>
      </c>
      <c r="BA19" s="139" t="str">
        <f t="shared" si="15"/>
        <v xml:space="preserve"> - </v>
      </c>
      <c r="BB19" s="139" t="str">
        <f t="shared" si="15"/>
        <v xml:space="preserve"> - </v>
      </c>
      <c r="BC19" s="135" t="str">
        <f>IF(ISNUMBER(W19),W19," - ")</f>
        <v xml:space="preserve"> - </v>
      </c>
      <c r="BD19" s="136" t="str">
        <f t="shared" si="12"/>
        <v xml:space="preserve"> - </v>
      </c>
      <c r="BE19" s="137" t="str">
        <f t="shared" si="13"/>
        <v xml:space="preserve"> - </v>
      </c>
      <c r="BF19" s="137" t="str">
        <f t="shared" si="14"/>
        <v xml:space="preserve"> - </v>
      </c>
      <c r="BG19" s="209" t="str">
        <f t="shared" si="11"/>
        <v xml:space="preserve"> - </v>
      </c>
      <c r="BH19" s="168">
        <v>0</v>
      </c>
      <c r="BI19" s="168"/>
      <c r="BJ19" s="215"/>
      <c r="BK19" s="168"/>
      <c r="BL19" s="168"/>
      <c r="BM19" s="168">
        <v>700</v>
      </c>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v>1262</v>
      </c>
      <c r="CO19" s="170">
        <v>700</v>
      </c>
      <c r="CP19" s="170">
        <v>1262</v>
      </c>
      <c r="CQ19" s="170"/>
      <c r="CR19" s="170"/>
      <c r="CS19" s="170"/>
      <c r="CT19" s="170"/>
      <c r="CU19" s="170"/>
      <c r="CV19" s="169"/>
      <c r="CW19" s="169"/>
      <c r="CX19" s="67"/>
      <c r="CY19" s="169"/>
      <c r="CZ19" s="169"/>
      <c r="DA19" s="169"/>
      <c r="DB19" s="160"/>
      <c r="DC19" s="356"/>
      <c r="DD19" s="169"/>
      <c r="DE19" s="362"/>
      <c r="DF19" s="362"/>
      <c r="DG19" s="534"/>
      <c r="DH19" s="170"/>
      <c r="DI19" s="170"/>
      <c r="DJ19" s="170"/>
      <c r="DK19" s="170"/>
      <c r="DL19" s="170"/>
      <c r="DM19" s="169"/>
      <c r="DN19" s="169"/>
      <c r="DO19" s="169"/>
      <c r="DP19" s="169"/>
      <c r="DQ19" s="169"/>
      <c r="DR19" s="169"/>
      <c r="DS19" s="169"/>
      <c r="DT19" s="169"/>
      <c r="DU19" s="169"/>
      <c r="DV19" s="850"/>
      <c r="DW19" s="850"/>
      <c r="DX19" s="850"/>
      <c r="DY19" s="850"/>
      <c r="DZ19" s="169"/>
      <c r="EA19" s="169"/>
      <c r="EB19" s="168"/>
      <c r="EC19" s="168"/>
      <c r="ED19" s="168"/>
      <c r="EE19" s="168"/>
      <c r="EF19" s="168"/>
      <c r="EG19" s="168"/>
      <c r="EH19" s="168"/>
      <c r="EI19" s="168"/>
      <c r="EJ19" s="168"/>
      <c r="EK19" s="168"/>
      <c r="EL19" s="168"/>
      <c r="EM19" s="168"/>
      <c r="EN19" s="168"/>
      <c r="EO19" s="1350" t="s">
        <v>1031</v>
      </c>
      <c r="EP19" s="1337"/>
      <c r="EQ19" s="1337"/>
      <c r="ER19" s="1343">
        <v>875</v>
      </c>
      <c r="ES19" s="1337"/>
      <c r="ET19" s="1523"/>
      <c r="EU19" s="1523"/>
    </row>
    <row r="20" spans="1:151" ht="13.9" customHeight="1">
      <c r="A20" s="7" t="s">
        <v>528</v>
      </c>
      <c r="B20" s="21" t="s">
        <v>523</v>
      </c>
      <c r="C20" s="22" t="s">
        <v>8</v>
      </c>
      <c r="D20" s="23" t="s">
        <v>29</v>
      </c>
      <c r="E20" s="21" t="s">
        <v>29</v>
      </c>
      <c r="F20" s="21">
        <v>25</v>
      </c>
      <c r="G20" s="6"/>
      <c r="H20" s="24"/>
      <c r="I20" s="195" t="s">
        <v>68</v>
      </c>
      <c r="J20" s="196" t="s">
        <v>69</v>
      </c>
      <c r="K20" s="196" t="s">
        <v>117</v>
      </c>
      <c r="L20" s="196" t="s">
        <v>70</v>
      </c>
      <c r="M20" s="196" t="s">
        <v>121</v>
      </c>
      <c r="N20" s="538" t="s">
        <v>630</v>
      </c>
      <c r="O20" s="538" t="s">
        <v>631</v>
      </c>
      <c r="P20" s="196" t="s">
        <v>121</v>
      </c>
      <c r="Q20" s="196" t="s">
        <v>121</v>
      </c>
      <c r="R20" s="196" t="s">
        <v>121</v>
      </c>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v>0</v>
      </c>
      <c r="AP20" s="168">
        <v>0</v>
      </c>
      <c r="AQ20" s="168">
        <v>0</v>
      </c>
      <c r="AR20" s="168">
        <v>0</v>
      </c>
      <c r="AS20" s="196" t="s">
        <v>69</v>
      </c>
      <c r="AT20" s="216"/>
      <c r="AU20" s="215"/>
      <c r="AV20" s="216"/>
      <c r="AW20" s="215"/>
      <c r="AX20" s="216"/>
      <c r="AY20" s="138" t="str">
        <f t="shared" ref="AY20:AY22" si="16">IF(ISNUMBER(S20),S20," - ")</f>
        <v xml:space="preserve"> - </v>
      </c>
      <c r="AZ20" s="139" t="str">
        <f t="shared" ref="AZ20:AZ22" si="17">IF(ISNUMBER(T20),T20," - ")</f>
        <v xml:space="preserve"> - </v>
      </c>
      <c r="BA20" s="139" t="str">
        <f t="shared" ref="BA20:BA22" si="18">IF(ISNUMBER(U20),U20," - ")</f>
        <v xml:space="preserve"> - </v>
      </c>
      <c r="BB20" s="139" t="str">
        <f t="shared" ref="BB20:BB22" si="19">IF(ISNUMBER(V20),V20," - ")</f>
        <v xml:space="preserve"> - </v>
      </c>
      <c r="BC20" s="135" t="str">
        <f t="shared" ref="BC20:BC22" si="20">IF(ISNUMBER(W20),W20," - ")</f>
        <v xml:space="preserve"> - </v>
      </c>
      <c r="BD20" s="136" t="str">
        <f t="shared" si="12"/>
        <v xml:space="preserve"> - </v>
      </c>
      <c r="BE20" s="137" t="str">
        <f t="shared" si="13"/>
        <v xml:space="preserve"> - </v>
      </c>
      <c r="BF20" s="137" t="str">
        <f t="shared" si="14"/>
        <v xml:space="preserve"> - </v>
      </c>
      <c r="BG20" s="209" t="str">
        <f t="shared" si="11"/>
        <v xml:space="preserve"> - </v>
      </c>
      <c r="BH20" s="168">
        <v>0</v>
      </c>
      <c r="BI20" s="168"/>
      <c r="BJ20" s="215"/>
      <c r="BK20" s="168"/>
      <c r="BL20" s="168"/>
      <c r="BM20" s="168">
        <v>1000</v>
      </c>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v>1148</v>
      </c>
      <c r="CO20" s="170">
        <v>1000</v>
      </c>
      <c r="CP20" s="170">
        <v>1148</v>
      </c>
      <c r="CQ20" s="170"/>
      <c r="CR20" s="170"/>
      <c r="CS20" s="170"/>
      <c r="CT20" s="170"/>
      <c r="CU20" s="170"/>
      <c r="CV20" s="169"/>
      <c r="CW20" s="169"/>
      <c r="CX20" s="67"/>
      <c r="CY20" s="169"/>
      <c r="CZ20" s="169"/>
      <c r="DA20" s="169"/>
      <c r="DB20" s="196"/>
      <c r="DC20" s="356"/>
      <c r="DD20" s="169"/>
      <c r="DE20" s="169"/>
      <c r="DF20" s="169"/>
      <c r="DG20" s="534"/>
      <c r="DH20" s="170"/>
      <c r="DI20" s="170"/>
      <c r="DJ20" s="170"/>
      <c r="DK20" s="170"/>
      <c r="DL20" s="170"/>
      <c r="DM20" s="169"/>
      <c r="DN20" s="169"/>
      <c r="DO20" s="169"/>
      <c r="DP20" s="169"/>
      <c r="DQ20" s="169"/>
      <c r="DR20" s="169"/>
      <c r="DS20" s="169"/>
      <c r="DT20" s="169"/>
      <c r="DU20" s="169"/>
      <c r="DV20" s="850"/>
      <c r="DW20" s="850"/>
      <c r="DX20" s="850"/>
      <c r="DY20" s="850"/>
      <c r="DZ20" s="169"/>
      <c r="EA20" s="169"/>
      <c r="EB20" s="168"/>
      <c r="EC20" s="168"/>
      <c r="ED20" s="168"/>
      <c r="EE20" s="168"/>
      <c r="EF20" s="168"/>
      <c r="EG20" s="168"/>
      <c r="EH20" s="168"/>
      <c r="EI20" s="168"/>
      <c r="EJ20" s="168"/>
      <c r="EK20" s="168"/>
      <c r="EL20" s="168"/>
      <c r="EM20" s="168"/>
      <c r="EN20" s="168"/>
      <c r="EO20" s="196" t="s">
        <v>69</v>
      </c>
      <c r="EP20" s="538"/>
      <c r="EQ20" s="538"/>
      <c r="ER20" s="1326">
        <v>5240</v>
      </c>
      <c r="ES20" s="538"/>
      <c r="ET20" s="1523"/>
      <c r="EU20" s="1523"/>
    </row>
    <row r="21" spans="1:151" ht="14.25" customHeight="1">
      <c r="A21" s="7" t="s">
        <v>529</v>
      </c>
      <c r="B21" s="21" t="s">
        <v>523</v>
      </c>
      <c r="C21" s="22" t="s">
        <v>8</v>
      </c>
      <c r="D21" s="23" t="s">
        <v>30</v>
      </c>
      <c r="E21" s="21" t="s">
        <v>30</v>
      </c>
      <c r="F21" s="21">
        <v>22</v>
      </c>
      <c r="G21" s="6"/>
      <c r="H21" s="28" t="s">
        <v>53</v>
      </c>
      <c r="I21" s="195" t="s">
        <v>678</v>
      </c>
      <c r="J21" s="196" t="s">
        <v>679</v>
      </c>
      <c r="K21" s="196" t="s">
        <v>680</v>
      </c>
      <c r="L21" s="196" t="s">
        <v>677</v>
      </c>
      <c r="M21" s="196" t="s">
        <v>681</v>
      </c>
      <c r="N21" s="196" t="s">
        <v>714</v>
      </c>
      <c r="O21" s="196" t="s">
        <v>298</v>
      </c>
      <c r="P21" s="196" t="s">
        <v>214</v>
      </c>
      <c r="Q21" s="196" t="s">
        <v>675</v>
      </c>
      <c r="R21" s="196" t="s">
        <v>676</v>
      </c>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v>0</v>
      </c>
      <c r="AP21" s="168">
        <v>0</v>
      </c>
      <c r="AQ21" s="168">
        <v>0</v>
      </c>
      <c r="AR21" s="168">
        <v>0</v>
      </c>
      <c r="AS21" s="382" t="s">
        <v>208</v>
      </c>
      <c r="AT21" s="345"/>
      <c r="AU21" s="215"/>
      <c r="AV21" s="216"/>
      <c r="AW21" s="215"/>
      <c r="AX21" s="216"/>
      <c r="AY21" s="138" t="str">
        <f t="shared" si="16"/>
        <v xml:space="preserve"> - </v>
      </c>
      <c r="AZ21" s="139" t="str">
        <f t="shared" si="17"/>
        <v xml:space="preserve"> - </v>
      </c>
      <c r="BA21" s="139" t="str">
        <f t="shared" si="18"/>
        <v xml:space="preserve"> - </v>
      </c>
      <c r="BB21" s="139" t="str">
        <f t="shared" si="19"/>
        <v xml:space="preserve"> - </v>
      </c>
      <c r="BC21" s="135" t="str">
        <f t="shared" si="20"/>
        <v xml:space="preserve"> - </v>
      </c>
      <c r="BD21" s="136" t="str">
        <f t="shared" si="12"/>
        <v xml:space="preserve"> - </v>
      </c>
      <c r="BE21" s="137" t="str">
        <f t="shared" si="13"/>
        <v xml:space="preserve"> - </v>
      </c>
      <c r="BF21" s="137" t="str">
        <f t="shared" si="14"/>
        <v xml:space="preserve"> - </v>
      </c>
      <c r="BG21" s="209" t="str">
        <f t="shared" si="11"/>
        <v xml:space="preserve"> - </v>
      </c>
      <c r="BH21" s="168">
        <v>0</v>
      </c>
      <c r="BI21" s="168"/>
      <c r="BJ21" s="215"/>
      <c r="BK21" s="168"/>
      <c r="BL21" s="168"/>
      <c r="BM21" s="168">
        <v>450</v>
      </c>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t="s">
        <v>419</v>
      </c>
      <c r="CO21" s="170">
        <v>450</v>
      </c>
      <c r="CP21" s="186" t="s">
        <v>419</v>
      </c>
      <c r="CQ21" s="170"/>
      <c r="CR21" s="170"/>
      <c r="CS21" s="170"/>
      <c r="CT21" s="170"/>
      <c r="CU21" s="170"/>
      <c r="CV21" s="169"/>
      <c r="CW21" s="169"/>
      <c r="CX21" s="67"/>
      <c r="CY21" s="169"/>
      <c r="CZ21" s="169"/>
      <c r="DA21" s="169"/>
      <c r="DB21" s="160"/>
      <c r="DC21" s="363"/>
      <c r="DD21" s="169"/>
      <c r="DE21" s="362"/>
      <c r="DF21" s="362"/>
      <c r="DG21" s="534"/>
      <c r="DH21" s="170"/>
      <c r="DI21" s="170"/>
      <c r="DJ21" s="170"/>
      <c r="DK21" s="170"/>
      <c r="DL21" s="170"/>
      <c r="DM21" s="169"/>
      <c r="DN21" s="169"/>
      <c r="DO21" s="169"/>
      <c r="DP21" s="169"/>
      <c r="DQ21" s="169"/>
      <c r="DR21" s="169"/>
      <c r="DS21" s="169"/>
      <c r="DT21" s="169"/>
      <c r="DU21" s="169"/>
      <c r="DV21" s="850"/>
      <c r="DW21" s="850"/>
      <c r="DX21" s="850"/>
      <c r="DY21" s="850"/>
      <c r="DZ21" s="169"/>
      <c r="EA21" s="169"/>
      <c r="EB21" s="168"/>
      <c r="EC21" s="168"/>
      <c r="ED21" s="168"/>
      <c r="EE21" s="168"/>
      <c r="EF21" s="168"/>
      <c r="EG21" s="168"/>
      <c r="EH21" s="168"/>
      <c r="EI21" s="168"/>
      <c r="EJ21" s="168"/>
      <c r="EK21" s="168"/>
      <c r="EL21" s="168"/>
      <c r="EM21" s="168"/>
      <c r="EN21" s="168"/>
      <c r="EO21" s="1352" t="s">
        <v>1043</v>
      </c>
      <c r="EP21" s="382"/>
      <c r="EQ21" s="382"/>
      <c r="ER21" s="1345" t="s">
        <v>1026</v>
      </c>
      <c r="ES21" s="382"/>
      <c r="ET21" s="1523"/>
      <c r="EU21" s="1523"/>
    </row>
    <row r="22" spans="1:151" ht="14.25" customHeight="1">
      <c r="A22" s="7" t="s">
        <v>530</v>
      </c>
      <c r="B22" s="21" t="s">
        <v>523</v>
      </c>
      <c r="C22" s="22" t="s">
        <v>8</v>
      </c>
      <c r="D22" s="23" t="s">
        <v>30</v>
      </c>
      <c r="E22" s="21">
        <v>10</v>
      </c>
      <c r="F22" s="21">
        <v>22</v>
      </c>
      <c r="G22" s="6"/>
      <c r="H22" s="28" t="s">
        <v>53</v>
      </c>
      <c r="I22" s="196" t="s">
        <v>121</v>
      </c>
      <c r="J22" s="196" t="s">
        <v>121</v>
      </c>
      <c r="K22" s="196" t="s">
        <v>121</v>
      </c>
      <c r="L22" s="196" t="s">
        <v>121</v>
      </c>
      <c r="M22" s="196" t="s">
        <v>121</v>
      </c>
      <c r="N22" s="196" t="s">
        <v>632</v>
      </c>
      <c r="O22" s="196" t="s">
        <v>304</v>
      </c>
      <c r="P22" s="196" t="s">
        <v>215</v>
      </c>
      <c r="Q22" s="196" t="s">
        <v>216</v>
      </c>
      <c r="R22" s="196" t="s">
        <v>217</v>
      </c>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v>0</v>
      </c>
      <c r="AP22" s="168">
        <v>0</v>
      </c>
      <c r="AQ22" s="168">
        <v>0</v>
      </c>
      <c r="AR22" s="168">
        <v>0</v>
      </c>
      <c r="AS22" s="382" t="s">
        <v>437</v>
      </c>
      <c r="AT22" s="216"/>
      <c r="AU22" s="215"/>
      <c r="AV22" s="216"/>
      <c r="AW22" s="215"/>
      <c r="AX22" s="216"/>
      <c r="AY22" s="138" t="str">
        <f t="shared" si="16"/>
        <v xml:space="preserve"> - </v>
      </c>
      <c r="AZ22" s="139" t="str">
        <f t="shared" si="17"/>
        <v xml:space="preserve"> - </v>
      </c>
      <c r="BA22" s="139" t="str">
        <f t="shared" si="18"/>
        <v xml:space="preserve"> - </v>
      </c>
      <c r="BB22" s="139" t="str">
        <f t="shared" si="19"/>
        <v xml:space="preserve"> - </v>
      </c>
      <c r="BC22" s="135" t="str">
        <f t="shared" si="20"/>
        <v xml:space="preserve"> - </v>
      </c>
      <c r="BD22" s="136" t="str">
        <f t="shared" si="12"/>
        <v xml:space="preserve"> - </v>
      </c>
      <c r="BE22" s="137" t="str">
        <f t="shared" si="13"/>
        <v xml:space="preserve"> - </v>
      </c>
      <c r="BF22" s="137" t="str">
        <f t="shared" si="14"/>
        <v xml:space="preserve"> - </v>
      </c>
      <c r="BG22" s="209" t="str">
        <f t="shared" si="11"/>
        <v xml:space="preserve"> - </v>
      </c>
      <c r="BH22" s="168">
        <v>0</v>
      </c>
      <c r="BI22" s="168"/>
      <c r="BJ22" s="215"/>
      <c r="BK22" s="168"/>
      <c r="BL22" s="168"/>
      <c r="BM22" s="168">
        <v>2655</v>
      </c>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v>1292</v>
      </c>
      <c r="CO22" s="170">
        <v>2655</v>
      </c>
      <c r="CP22" s="170">
        <v>1292</v>
      </c>
      <c r="CQ22" s="170"/>
      <c r="CR22" s="170"/>
      <c r="CS22" s="170"/>
      <c r="CT22" s="170"/>
      <c r="CU22" s="170"/>
      <c r="CV22" s="169"/>
      <c r="CW22" s="169"/>
      <c r="CX22" s="67"/>
      <c r="CY22" s="169"/>
      <c r="CZ22" s="169"/>
      <c r="DA22" s="169"/>
      <c r="DB22" s="160"/>
      <c r="DC22" s="356"/>
      <c r="DD22" s="169"/>
      <c r="DE22" s="362"/>
      <c r="DF22" s="362"/>
      <c r="DG22" s="534"/>
      <c r="DH22" s="170"/>
      <c r="DI22" s="170"/>
      <c r="DJ22" s="170"/>
      <c r="DK22" s="170"/>
      <c r="DL22" s="170"/>
      <c r="DM22" s="169"/>
      <c r="DN22" s="169"/>
      <c r="DO22" s="169"/>
      <c r="DP22" s="169"/>
      <c r="DQ22" s="169"/>
      <c r="DR22" s="169"/>
      <c r="DS22" s="169"/>
      <c r="DT22" s="169"/>
      <c r="DU22" s="169"/>
      <c r="DV22" s="850"/>
      <c r="DW22" s="850"/>
      <c r="DX22" s="850"/>
      <c r="DY22" s="850"/>
      <c r="DZ22" s="169"/>
      <c r="EA22" s="169"/>
      <c r="EB22" s="168"/>
      <c r="EC22" s="168"/>
      <c r="ED22" s="168"/>
      <c r="EE22" s="168"/>
      <c r="EF22" s="168"/>
      <c r="EG22" s="168"/>
      <c r="EH22" s="168"/>
      <c r="EI22" s="168"/>
      <c r="EJ22" s="168"/>
      <c r="EK22" s="168"/>
      <c r="EL22" s="168"/>
      <c r="EM22" s="168"/>
      <c r="EN22" s="168"/>
      <c r="EO22" s="1347" t="s">
        <v>1034</v>
      </c>
      <c r="EP22" s="382"/>
      <c r="EQ22" s="382"/>
      <c r="ER22" s="1343">
        <v>2400</v>
      </c>
      <c r="ES22" s="382"/>
      <c r="ET22" s="1523"/>
      <c r="EU22" s="1523"/>
    </row>
    <row r="23" spans="1:151" ht="14.25" customHeight="1" thickBot="1">
      <c r="A23" s="77" t="s">
        <v>5</v>
      </c>
      <c r="B23" s="78" t="s">
        <v>523</v>
      </c>
      <c r="C23" s="79" t="s">
        <v>9</v>
      </c>
      <c r="D23" s="80"/>
      <c r="E23" s="81"/>
      <c r="F23" s="81"/>
      <c r="G23" s="82"/>
      <c r="H23" s="83"/>
      <c r="I23" s="197">
        <f t="shared" ref="I23:AT23" si="21">SUBTOTAL(9,I15:I22)</f>
        <v>6189</v>
      </c>
      <c r="J23" s="197">
        <f t="shared" si="21"/>
        <v>75213</v>
      </c>
      <c r="K23" s="197">
        <f t="shared" si="21"/>
        <v>76411</v>
      </c>
      <c r="L23" s="197">
        <f t="shared" si="21"/>
        <v>5699</v>
      </c>
      <c r="M23" s="197">
        <f t="shared" si="21"/>
        <v>5910</v>
      </c>
      <c r="N23" s="197">
        <f t="shared" si="21"/>
        <v>55535</v>
      </c>
      <c r="O23" s="197">
        <f t="shared" si="21"/>
        <v>696</v>
      </c>
      <c r="P23" s="197">
        <f t="shared" si="21"/>
        <v>2006</v>
      </c>
      <c r="Q23" s="197">
        <f t="shared" si="21"/>
        <v>2007</v>
      </c>
      <c r="R23" s="197">
        <f t="shared" si="21"/>
        <v>1135</v>
      </c>
      <c r="S23" s="197">
        <f t="shared" si="21"/>
        <v>5226</v>
      </c>
      <c r="T23" s="197">
        <f t="shared" si="21"/>
        <v>65410</v>
      </c>
      <c r="U23" s="197">
        <f t="shared" si="21"/>
        <v>64954</v>
      </c>
      <c r="V23" s="197">
        <f t="shared" si="21"/>
        <v>6189</v>
      </c>
      <c r="W23" s="197">
        <f t="shared" si="21"/>
        <v>4311</v>
      </c>
      <c r="X23" s="197">
        <f t="shared" si="21"/>
        <v>47049</v>
      </c>
      <c r="Y23" s="197">
        <f t="shared" si="21"/>
        <v>0</v>
      </c>
      <c r="Z23" s="197">
        <f t="shared" si="21"/>
        <v>0</v>
      </c>
      <c r="AA23" s="197">
        <f t="shared" si="21"/>
        <v>0</v>
      </c>
      <c r="AB23" s="197">
        <f t="shared" si="21"/>
        <v>0</v>
      </c>
      <c r="AC23" s="197">
        <f t="shared" si="21"/>
        <v>6</v>
      </c>
      <c r="AD23" s="197">
        <f t="shared" si="21"/>
        <v>538</v>
      </c>
      <c r="AE23" s="197">
        <f t="shared" si="21"/>
        <v>543</v>
      </c>
      <c r="AF23" s="197">
        <f t="shared" si="21"/>
        <v>1</v>
      </c>
      <c r="AG23" s="197">
        <f t="shared" si="21"/>
        <v>0</v>
      </c>
      <c r="AH23" s="197">
        <f t="shared" si="21"/>
        <v>0</v>
      </c>
      <c r="AI23" s="197">
        <f t="shared" si="21"/>
        <v>0</v>
      </c>
      <c r="AJ23" s="197">
        <f t="shared" si="21"/>
        <v>0</v>
      </c>
      <c r="AK23" s="197">
        <f t="shared" si="21"/>
        <v>5</v>
      </c>
      <c r="AL23" s="197">
        <f t="shared" si="21"/>
        <v>205</v>
      </c>
      <c r="AM23" s="197">
        <f t="shared" si="21"/>
        <v>204</v>
      </c>
      <c r="AN23" s="197">
        <f t="shared" si="21"/>
        <v>6</v>
      </c>
      <c r="AO23" s="197">
        <f t="shared" si="21"/>
        <v>17</v>
      </c>
      <c r="AP23" s="197">
        <f t="shared" si="21"/>
        <v>17</v>
      </c>
      <c r="AQ23" s="197">
        <f t="shared" si="21"/>
        <v>17</v>
      </c>
      <c r="AR23" s="197">
        <f t="shared" si="21"/>
        <v>17</v>
      </c>
      <c r="AS23" s="197">
        <f t="shared" si="21"/>
        <v>0</v>
      </c>
      <c r="AT23" s="197">
        <f t="shared" si="21"/>
        <v>0</v>
      </c>
      <c r="AU23" s="217"/>
      <c r="AV23" s="142"/>
      <c r="AW23" s="217"/>
      <c r="AX23" s="142"/>
      <c r="AY23" s="197">
        <f>SUBTOTAL(9,AY15:AY22)</f>
        <v>5226</v>
      </c>
      <c r="AZ23" s="197">
        <f>SUBTOTAL(9,AZ15:AZ22)</f>
        <v>65410</v>
      </c>
      <c r="BA23" s="197">
        <f>SUBTOTAL(9,BA15:BA22)</f>
        <v>64954</v>
      </c>
      <c r="BB23" s="197">
        <f>SUBTOTAL(9,BB15:BB22)</f>
        <v>6189</v>
      </c>
      <c r="BC23" s="197">
        <f>SUBTOTAL(9,BC15:BC22)</f>
        <v>4311</v>
      </c>
      <c r="BD23" s="219">
        <f>IF(ISNUMBER(BA23/AZ23),BA23/AZ23," - ")</f>
        <v>0.99302858890077972</v>
      </c>
      <c r="BE23" s="220">
        <f>IF(ISNUMBER(BB23/BA23),BB23/BA23, " - ")</f>
        <v>9.5282815530991161E-2</v>
      </c>
      <c r="BF23" s="220">
        <f>IF(ISNUMBER(BC23/BA23),BC23/BA23, " - ")</f>
        <v>6.6370046494442225E-2</v>
      </c>
      <c r="BG23" s="221">
        <f>IF(ISNUMBER((AY23+AZ23)/BA23),(AY23+AZ23)/BA23," - ")</f>
        <v>1.087477291621763</v>
      </c>
      <c r="BH23" s="197">
        <f>SUBTOTAL(9,BH15:BH22)</f>
        <v>17</v>
      </c>
      <c r="BI23" s="197">
        <f>SUBTOTAL(9,BI15:BI22)</f>
        <v>0</v>
      </c>
      <c r="BJ23" s="197">
        <f>SUBTOTAL(9,BJ15:BJ22)</f>
        <v>0</v>
      </c>
      <c r="BK23" s="197">
        <f>SUBTOTAL(9,BK15:BK22)</f>
        <v>0</v>
      </c>
      <c r="BL23" s="197">
        <f>SUBTOTAL(9,BL15:BL22)</f>
        <v>0</v>
      </c>
      <c r="BM23" s="153">
        <f>AVERAGE(BM16:BM22)</f>
        <v>2250.7142857142858</v>
      </c>
      <c r="BN23" s="164"/>
      <c r="BO23" s="164"/>
      <c r="BP23" s="164"/>
      <c r="BQ23" s="164"/>
      <c r="BR23" s="164"/>
      <c r="BS23" s="164"/>
      <c r="BT23" s="164"/>
      <c r="BU23" s="164"/>
      <c r="BV23" s="197"/>
      <c r="BW23" s="197"/>
      <c r="BX23" s="197"/>
      <c r="BY23" s="164"/>
      <c r="BZ23" s="164"/>
      <c r="CA23" s="197">
        <f t="shared" ref="CA23:CL23" si="22">SUBTOTAL(9,CA15:CA22)</f>
        <v>0</v>
      </c>
      <c r="CB23" s="197">
        <f t="shared" si="22"/>
        <v>0</v>
      </c>
      <c r="CC23" s="197">
        <f t="shared" si="22"/>
        <v>0</v>
      </c>
      <c r="CD23" s="197">
        <f t="shared" si="22"/>
        <v>0</v>
      </c>
      <c r="CE23" s="197">
        <f t="shared" si="22"/>
        <v>0</v>
      </c>
      <c r="CF23" s="197">
        <f t="shared" si="22"/>
        <v>0</v>
      </c>
      <c r="CG23" s="197">
        <f t="shared" si="22"/>
        <v>0</v>
      </c>
      <c r="CH23" s="197">
        <f t="shared" si="22"/>
        <v>0</v>
      </c>
      <c r="CI23" s="197">
        <f t="shared" si="22"/>
        <v>0</v>
      </c>
      <c r="CJ23" s="197">
        <f t="shared" si="22"/>
        <v>0</v>
      </c>
      <c r="CK23" s="197">
        <f t="shared" si="22"/>
        <v>0</v>
      </c>
      <c r="CL23" s="197">
        <f t="shared" si="22"/>
        <v>0</v>
      </c>
      <c r="CM23" s="322"/>
      <c r="CN23" s="164"/>
      <c r="CO23" s="164"/>
      <c r="CP23" s="164"/>
      <c r="CQ23" s="164"/>
      <c r="CR23" s="164"/>
      <c r="CS23" s="164"/>
      <c r="CT23" s="164"/>
      <c r="CU23" s="164"/>
      <c r="CV23" s="197">
        <f>SUBTOTAL(9,CV16:CV22)</f>
        <v>0</v>
      </c>
      <c r="CW23" s="197">
        <f>SUBTOTAL(9,CW16:CW22)</f>
        <v>0</v>
      </c>
      <c r="CX23" s="197"/>
      <c r="CY23" s="197">
        <f t="shared" ref="CY23:EN23" si="23">SUBTOTAL(9,CY16:CY22)</f>
        <v>0</v>
      </c>
      <c r="CZ23" s="197">
        <f t="shared" si="23"/>
        <v>0</v>
      </c>
      <c r="DA23" s="197">
        <f t="shared" si="23"/>
        <v>0</v>
      </c>
      <c r="DB23" s="197">
        <f t="shared" si="23"/>
        <v>0</v>
      </c>
      <c r="DC23" s="197">
        <f t="shared" si="23"/>
        <v>0</v>
      </c>
      <c r="DD23" s="197">
        <f t="shared" si="23"/>
        <v>0</v>
      </c>
      <c r="DE23" s="197">
        <f t="shared" si="23"/>
        <v>0</v>
      </c>
      <c r="DF23" s="197">
        <f t="shared" si="23"/>
        <v>0</v>
      </c>
      <c r="DG23" s="197">
        <f t="shared" si="23"/>
        <v>0</v>
      </c>
      <c r="DH23" s="197">
        <f t="shared" si="23"/>
        <v>0</v>
      </c>
      <c r="DI23" s="197">
        <f t="shared" si="23"/>
        <v>0</v>
      </c>
      <c r="DJ23" s="197">
        <f t="shared" si="23"/>
        <v>0</v>
      </c>
      <c r="DK23" s="197">
        <f t="shared" si="23"/>
        <v>0</v>
      </c>
      <c r="DL23" s="197">
        <f t="shared" si="23"/>
        <v>0</v>
      </c>
      <c r="DM23" s="197">
        <f t="shared" si="23"/>
        <v>0</v>
      </c>
      <c r="DN23" s="197">
        <f t="shared" si="23"/>
        <v>0</v>
      </c>
      <c r="DO23" s="197">
        <f t="shared" si="23"/>
        <v>0</v>
      </c>
      <c r="DP23" s="197">
        <f t="shared" si="23"/>
        <v>0</v>
      </c>
      <c r="DQ23" s="197">
        <f t="shared" si="23"/>
        <v>0</v>
      </c>
      <c r="DR23" s="197">
        <f t="shared" si="23"/>
        <v>0</v>
      </c>
      <c r="DS23" s="197">
        <f t="shared" si="23"/>
        <v>0</v>
      </c>
      <c r="DT23" s="197">
        <f t="shared" si="23"/>
        <v>0</v>
      </c>
      <c r="DU23" s="197">
        <f t="shared" si="23"/>
        <v>0</v>
      </c>
      <c r="DV23" s="851">
        <f t="shared" si="23"/>
        <v>0</v>
      </c>
      <c r="DW23" s="851">
        <f t="shared" si="23"/>
        <v>0</v>
      </c>
      <c r="DX23" s="851">
        <f t="shared" si="23"/>
        <v>0</v>
      </c>
      <c r="DY23" s="851">
        <f t="shared" si="23"/>
        <v>0</v>
      </c>
      <c r="DZ23" s="197">
        <f t="shared" si="23"/>
        <v>0</v>
      </c>
      <c r="EA23" s="197">
        <f t="shared" si="23"/>
        <v>0</v>
      </c>
      <c r="EB23" s="197">
        <f t="shared" si="23"/>
        <v>0</v>
      </c>
      <c r="EC23" s="197">
        <f t="shared" si="23"/>
        <v>0</v>
      </c>
      <c r="ED23" s="197">
        <f t="shared" si="23"/>
        <v>0</v>
      </c>
      <c r="EE23" s="197">
        <f t="shared" si="23"/>
        <v>0</v>
      </c>
      <c r="EF23" s="197">
        <f t="shared" si="23"/>
        <v>0</v>
      </c>
      <c r="EG23" s="197">
        <f t="shared" si="23"/>
        <v>0</v>
      </c>
      <c r="EH23" s="197">
        <f t="shared" si="23"/>
        <v>0</v>
      </c>
      <c r="EI23" s="197">
        <f t="shared" si="23"/>
        <v>0</v>
      </c>
      <c r="EJ23" s="197">
        <f t="shared" si="23"/>
        <v>0</v>
      </c>
      <c r="EK23" s="197">
        <f t="shared" si="23"/>
        <v>0</v>
      </c>
      <c r="EL23" s="197">
        <f t="shared" si="23"/>
        <v>0</v>
      </c>
      <c r="EM23" s="197">
        <f t="shared" si="23"/>
        <v>0</v>
      </c>
      <c r="EN23" s="197">
        <f t="shared" si="23"/>
        <v>0</v>
      </c>
      <c r="EO23" s="1348"/>
      <c r="EP23" s="851">
        <f>SUBTOTAL(9,EP16:EP22)</f>
        <v>0</v>
      </c>
      <c r="EQ23" s="851">
        <f>SUBTOTAL(9,EQ16:EQ22)</f>
        <v>0</v>
      </c>
      <c r="ER23" s="164">
        <f>AVERAGE(ER16:ER22)</f>
        <v>2402.5</v>
      </c>
      <c r="ES23" s="851"/>
      <c r="ET23" s="153"/>
      <c r="EU23" s="1525"/>
    </row>
    <row r="24" spans="1:151" ht="14.25" customHeight="1" thickBot="1">
      <c r="A24" s="73" t="s">
        <v>0</v>
      </c>
      <c r="B24" s="85" t="s">
        <v>523</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80"/>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1349"/>
      <c r="EP24" s="380"/>
      <c r="EQ24" s="380"/>
      <c r="ER24" s="380"/>
      <c r="ES24" s="380"/>
      <c r="ET24" s="196"/>
      <c r="EU24" s="196"/>
    </row>
    <row r="25" spans="1:151" ht="14.25" customHeight="1">
      <c r="A25" s="7" t="s">
        <v>1</v>
      </c>
      <c r="B25" s="21" t="s">
        <v>523</v>
      </c>
      <c r="C25" s="22" t="s">
        <v>8</v>
      </c>
      <c r="D25" s="23">
        <v>30</v>
      </c>
      <c r="E25" s="21">
        <v>30</v>
      </c>
      <c r="F25" s="21">
        <v>23</v>
      </c>
      <c r="G25" s="6"/>
      <c r="H25" s="24"/>
      <c r="I25" s="195" t="s">
        <v>79</v>
      </c>
      <c r="J25" s="196" t="s">
        <v>80</v>
      </c>
      <c r="K25" s="196" t="s">
        <v>82</v>
      </c>
      <c r="L25" s="196" t="s">
        <v>81</v>
      </c>
      <c r="M25" s="196" t="s">
        <v>83</v>
      </c>
      <c r="N25" s="196" t="s">
        <v>629</v>
      </c>
      <c r="O25" s="196" t="s">
        <v>299</v>
      </c>
      <c r="P25" s="196" t="s">
        <v>63</v>
      </c>
      <c r="Q25" s="196" t="s">
        <v>64</v>
      </c>
      <c r="R25" s="196" t="s">
        <v>65</v>
      </c>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v>0</v>
      </c>
      <c r="AP25" s="168">
        <v>0</v>
      </c>
      <c r="AQ25" s="168">
        <v>0</v>
      </c>
      <c r="AR25" s="168">
        <v>0</v>
      </c>
      <c r="AS25" s="382" t="s">
        <v>209</v>
      </c>
      <c r="AT25" s="216"/>
      <c r="AU25" s="215"/>
      <c r="AV25" s="216"/>
      <c r="AW25" s="215"/>
      <c r="AX25" s="216"/>
      <c r="AY25" s="138" t="str">
        <f t="shared" ref="AY25:BC25" si="24">IF(ISNUMBER(S25),S25," - ")</f>
        <v xml:space="preserve"> - </v>
      </c>
      <c r="AZ25" s="139" t="str">
        <f t="shared" si="24"/>
        <v xml:space="preserve"> - </v>
      </c>
      <c r="BA25" s="139" t="str">
        <f t="shared" si="24"/>
        <v xml:space="preserve"> - </v>
      </c>
      <c r="BB25" s="139" t="str">
        <f t="shared" si="24"/>
        <v xml:space="preserve"> - </v>
      </c>
      <c r="BC25" s="135" t="str">
        <f t="shared" si="24"/>
        <v xml:space="preserve"> - </v>
      </c>
      <c r="BD25" s="136" t="str">
        <f t="shared" ref="BD25:BD26" si="25">IF(ISNUMBER(BA25/AZ25),BA25/AZ25," - ")</f>
        <v xml:space="preserve"> - </v>
      </c>
      <c r="BE25" s="137" t="str">
        <f t="shared" ref="BE25:BE26" si="26">IF(ISNUMBER(BB25/BA25),BB25/BA25, " - ")</f>
        <v xml:space="preserve"> - </v>
      </c>
      <c r="BF25" s="137" t="str">
        <f t="shared" ref="BF25:BF26" si="27">IF(ISNUMBER(BC25/BA25),BC25/BA25, " - ")</f>
        <v xml:space="preserve"> - </v>
      </c>
      <c r="BG25" s="209" t="str">
        <f t="shared" ref="BG25:BG26" si="28">IF(ISNUMBER((AY25+AZ25)/BA25),(AY25+AZ25)/BA25," - ")</f>
        <v xml:space="preserve"> - </v>
      </c>
      <c r="BH25" s="168">
        <v>0</v>
      </c>
      <c r="BI25" s="168"/>
      <c r="BJ25" s="215"/>
      <c r="BK25" s="168"/>
      <c r="BL25" s="168"/>
      <c r="BM25" s="168">
        <v>600</v>
      </c>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v>1262</v>
      </c>
      <c r="CO25" s="170">
        <v>600</v>
      </c>
      <c r="CP25" s="170">
        <v>1262</v>
      </c>
      <c r="CQ25" s="170"/>
      <c r="CR25" s="170"/>
      <c r="CS25" s="170"/>
      <c r="CT25" s="170"/>
      <c r="CU25" s="170"/>
      <c r="CV25" s="169"/>
      <c r="CW25" s="169"/>
      <c r="CX25" s="67"/>
      <c r="CY25" s="169"/>
      <c r="CZ25" s="169"/>
      <c r="DA25" s="169"/>
      <c r="DB25" s="160"/>
      <c r="DC25" s="356"/>
      <c r="DD25" s="169"/>
      <c r="DE25" s="364"/>
      <c r="DF25" s="350"/>
      <c r="DG25" s="534"/>
      <c r="DH25" s="170"/>
      <c r="DI25" s="170"/>
      <c r="DJ25" s="170"/>
      <c r="DK25" s="170"/>
      <c r="DL25" s="170"/>
      <c r="DM25" s="384"/>
      <c r="DN25" s="384"/>
      <c r="DO25" s="384"/>
      <c r="DP25" s="384"/>
      <c r="DQ25" s="384"/>
      <c r="DR25" s="384"/>
      <c r="DS25" s="384"/>
      <c r="DT25" s="384"/>
      <c r="DU25" s="170"/>
      <c r="DV25" s="384"/>
      <c r="DW25" s="384"/>
      <c r="DX25" s="384"/>
      <c r="DY25" s="384"/>
      <c r="DZ25" s="384"/>
      <c r="EA25" s="384"/>
      <c r="EB25" s="170"/>
      <c r="EC25" s="170"/>
      <c r="ED25" s="170"/>
      <c r="EE25" s="170"/>
      <c r="EF25" s="170"/>
      <c r="EG25" s="170"/>
      <c r="EH25" s="170"/>
      <c r="EI25" s="170"/>
      <c r="EJ25" s="170"/>
      <c r="EK25" s="170"/>
      <c r="EL25" s="168"/>
      <c r="EM25" s="168"/>
      <c r="EN25" s="168"/>
      <c r="EO25" s="1347" t="s">
        <v>80</v>
      </c>
      <c r="EP25" s="382"/>
      <c r="EQ25" s="382"/>
      <c r="ER25" s="1343">
        <v>570</v>
      </c>
      <c r="ES25" s="382"/>
      <c r="ET25" s="1523"/>
      <c r="EU25" s="1523"/>
    </row>
    <row r="26" spans="1:151" ht="14.25" customHeight="1" thickBot="1">
      <c r="A26" s="77" t="s">
        <v>5</v>
      </c>
      <c r="B26" s="78" t="s">
        <v>523</v>
      </c>
      <c r="C26" s="79" t="s">
        <v>9</v>
      </c>
      <c r="D26" s="80"/>
      <c r="E26" s="81"/>
      <c r="F26" s="81"/>
      <c r="G26" s="82"/>
      <c r="H26" s="83"/>
      <c r="I26" s="197">
        <f t="shared" ref="I26:AS26" si="29">SUBTOTAL(9,I25:I25)</f>
        <v>0</v>
      </c>
      <c r="J26" s="197">
        <f t="shared" si="29"/>
        <v>0</v>
      </c>
      <c r="K26" s="197">
        <f t="shared" si="29"/>
        <v>0</v>
      </c>
      <c r="L26" s="197">
        <f t="shared" si="29"/>
        <v>0</v>
      </c>
      <c r="M26" s="197">
        <f t="shared" si="29"/>
        <v>0</v>
      </c>
      <c r="N26" s="197">
        <f t="shared" si="29"/>
        <v>0</v>
      </c>
      <c r="O26" s="197">
        <f t="shared" si="29"/>
        <v>0</v>
      </c>
      <c r="P26" s="197">
        <f t="shared" si="29"/>
        <v>0</v>
      </c>
      <c r="Q26" s="197">
        <f t="shared" si="29"/>
        <v>0</v>
      </c>
      <c r="R26" s="197">
        <f t="shared" si="29"/>
        <v>0</v>
      </c>
      <c r="S26" s="197">
        <f t="shared" si="29"/>
        <v>0</v>
      </c>
      <c r="T26" s="197">
        <f t="shared" si="29"/>
        <v>0</v>
      </c>
      <c r="U26" s="197">
        <f t="shared" si="29"/>
        <v>0</v>
      </c>
      <c r="V26" s="197">
        <f t="shared" si="29"/>
        <v>0</v>
      </c>
      <c r="W26" s="197">
        <f t="shared" si="29"/>
        <v>0</v>
      </c>
      <c r="X26" s="141">
        <f t="shared" si="29"/>
        <v>0</v>
      </c>
      <c r="Y26" s="217">
        <f t="shared" si="29"/>
        <v>0</v>
      </c>
      <c r="Z26" s="197">
        <f t="shared" si="29"/>
        <v>0</v>
      </c>
      <c r="AA26" s="197">
        <f t="shared" si="29"/>
        <v>0</v>
      </c>
      <c r="AB26" s="197">
        <f t="shared" si="29"/>
        <v>0</v>
      </c>
      <c r="AC26" s="197">
        <f t="shared" si="29"/>
        <v>0</v>
      </c>
      <c r="AD26" s="197">
        <f t="shared" si="29"/>
        <v>0</v>
      </c>
      <c r="AE26" s="197">
        <f t="shared" si="29"/>
        <v>0</v>
      </c>
      <c r="AF26" s="141">
        <f t="shared" si="29"/>
        <v>0</v>
      </c>
      <c r="AG26" s="217">
        <f t="shared" si="29"/>
        <v>0</v>
      </c>
      <c r="AH26" s="197">
        <f t="shared" si="29"/>
        <v>0</v>
      </c>
      <c r="AI26" s="197">
        <f t="shared" si="29"/>
        <v>0</v>
      </c>
      <c r="AJ26" s="142">
        <f t="shared" si="29"/>
        <v>0</v>
      </c>
      <c r="AK26" s="218">
        <f t="shared" si="29"/>
        <v>0</v>
      </c>
      <c r="AL26" s="197">
        <f t="shared" si="29"/>
        <v>0</v>
      </c>
      <c r="AM26" s="197">
        <f t="shared" si="29"/>
        <v>0</v>
      </c>
      <c r="AN26" s="141">
        <f t="shared" si="29"/>
        <v>0</v>
      </c>
      <c r="AO26" s="153">
        <f t="shared" si="29"/>
        <v>0</v>
      </c>
      <c r="AP26" s="153">
        <f t="shared" si="29"/>
        <v>0</v>
      </c>
      <c r="AQ26" s="153">
        <f t="shared" si="29"/>
        <v>0</v>
      </c>
      <c r="AR26" s="153">
        <f t="shared" si="29"/>
        <v>0</v>
      </c>
      <c r="AS26" s="153">
        <f t="shared" si="29"/>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 t="shared" si="25"/>
        <v xml:space="preserve"> - </v>
      </c>
      <c r="BE26" s="220" t="str">
        <f t="shared" si="26"/>
        <v xml:space="preserve"> - </v>
      </c>
      <c r="BF26" s="220" t="str">
        <f t="shared" si="27"/>
        <v xml:space="preserve"> - </v>
      </c>
      <c r="BG26" s="221" t="str">
        <f t="shared" si="28"/>
        <v xml:space="preserve"> - </v>
      </c>
      <c r="BH26" s="153">
        <f>SUBTOTAL(9,BH25:BH25)</f>
        <v>0</v>
      </c>
      <c r="BI26" s="153">
        <f>SUBTOTAL(9,BI25:BI25)</f>
        <v>0</v>
      </c>
      <c r="BJ26" s="217"/>
      <c r="BK26" s="153">
        <f>SUBTOTAL(9,BK25:BK25)</f>
        <v>0</v>
      </c>
      <c r="BL26" s="153"/>
      <c r="BM26" s="153">
        <f>AVERAGE(BM25:BM25)</f>
        <v>600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1348"/>
      <c r="EP26" s="383"/>
      <c r="EQ26" s="383"/>
      <c r="ER26" s="164">
        <f>AVERAGE(ER25:ER25)</f>
        <v>570</v>
      </c>
      <c r="ES26" s="164"/>
      <c r="ET26" s="153"/>
      <c r="EU26" s="1525"/>
    </row>
    <row r="27" spans="1:151" ht="14.25" customHeight="1">
      <c r="A27" s="73" t="s">
        <v>2</v>
      </c>
      <c r="B27" s="85" t="s">
        <v>523</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80"/>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1349"/>
      <c r="EP27" s="380"/>
      <c r="EQ27" s="380"/>
      <c r="ER27" s="380"/>
      <c r="ES27" s="380"/>
      <c r="ET27" s="196"/>
      <c r="EU27" s="196"/>
    </row>
    <row r="28" spans="1:151" ht="14.25" customHeight="1">
      <c r="A28" s="7" t="s">
        <v>3</v>
      </c>
      <c r="B28" s="21" t="s">
        <v>523</v>
      </c>
      <c r="C28" s="22" t="s">
        <v>8</v>
      </c>
      <c r="D28" s="23" t="s">
        <v>31</v>
      </c>
      <c r="E28" s="21" t="s">
        <v>31</v>
      </c>
      <c r="F28" s="21">
        <v>24</v>
      </c>
      <c r="G28" s="6"/>
      <c r="H28" s="30" t="s">
        <v>54</v>
      </c>
      <c r="I28" s="195" t="s">
        <v>37</v>
      </c>
      <c r="J28" s="196" t="s">
        <v>378</v>
      </c>
      <c r="K28" s="196" t="s">
        <v>39</v>
      </c>
      <c r="L28" s="196" t="s">
        <v>38</v>
      </c>
      <c r="M28" s="196" t="s">
        <v>174</v>
      </c>
      <c r="N28" s="196" t="s">
        <v>712</v>
      </c>
      <c r="O28" s="196" t="s">
        <v>300</v>
      </c>
      <c r="P28" s="196" t="s">
        <v>136</v>
      </c>
      <c r="Q28" s="196" t="s">
        <v>137</v>
      </c>
      <c r="R28" s="196" t="s">
        <v>138</v>
      </c>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v>0</v>
      </c>
      <c r="AP28" s="168">
        <v>0</v>
      </c>
      <c r="AQ28" s="168">
        <v>0</v>
      </c>
      <c r="AR28" s="168">
        <v>0</v>
      </c>
      <c r="AS28" s="382" t="s">
        <v>207</v>
      </c>
      <c r="AT28" s="216"/>
      <c r="AU28" s="215"/>
      <c r="AV28" s="216"/>
      <c r="AW28" s="215"/>
      <c r="AX28" s="216"/>
      <c r="AY28" s="138" t="str">
        <f t="shared" ref="AY28:BC29" si="30">IF(ISNUMBER(S28),S28," - ")</f>
        <v xml:space="preserve"> - </v>
      </c>
      <c r="AZ28" s="139" t="str">
        <f t="shared" si="30"/>
        <v xml:space="preserve"> - </v>
      </c>
      <c r="BA28" s="139" t="str">
        <f t="shared" si="30"/>
        <v xml:space="preserve"> - </v>
      </c>
      <c r="BB28" s="139" t="str">
        <f t="shared" si="30"/>
        <v xml:space="preserve"> - </v>
      </c>
      <c r="BC28" s="135" t="str">
        <f t="shared" si="30"/>
        <v xml:space="preserve"> - </v>
      </c>
      <c r="BD28" s="136" t="str">
        <f t="shared" ref="BD28:BD30" si="31">IF(ISNUMBER(BA28/AZ28),BA28/AZ28," - ")</f>
        <v xml:space="preserve"> - </v>
      </c>
      <c r="BE28" s="137" t="str">
        <f t="shared" ref="BE28:BE30" si="32">IF(ISNUMBER(BB28/BA28),BB28/BA28, " - ")</f>
        <v xml:space="preserve"> - </v>
      </c>
      <c r="BF28" s="137" t="str">
        <f t="shared" ref="BF28:BF30" si="33">IF(ISNUMBER(BC28/BA28),BC28/BA28, " - ")</f>
        <v xml:space="preserve"> - </v>
      </c>
      <c r="BG28" s="209" t="str">
        <f t="shared" ref="BG28:BG30" si="34">IF(ISNUMBER((AY28+AZ28)/BA28),(AY28+AZ28)/BA28," - ")</f>
        <v xml:space="preserve"> - </v>
      </c>
      <c r="BH28" s="168">
        <v>0</v>
      </c>
      <c r="BI28" s="168"/>
      <c r="BJ28" s="215"/>
      <c r="BK28" s="168"/>
      <c r="BL28" s="168"/>
      <c r="BM28" s="168">
        <v>850</v>
      </c>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t="s">
        <v>418</v>
      </c>
      <c r="CO28" s="170">
        <v>850</v>
      </c>
      <c r="CP28" s="186" t="s">
        <v>418</v>
      </c>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50"/>
      <c r="DW28" s="850"/>
      <c r="DX28" s="850"/>
      <c r="DY28" s="850"/>
      <c r="DZ28" s="169"/>
      <c r="EA28" s="169"/>
      <c r="EB28" s="170"/>
      <c r="EC28" s="170"/>
      <c r="ED28" s="170"/>
      <c r="EE28" s="170"/>
      <c r="EF28" s="170"/>
      <c r="EG28" s="170"/>
      <c r="EH28" s="170"/>
      <c r="EI28" s="170"/>
      <c r="EJ28" s="170"/>
      <c r="EK28" s="170"/>
      <c r="EL28" s="168"/>
      <c r="EM28" s="168"/>
      <c r="EN28" s="168"/>
      <c r="EO28" s="1468" t="s">
        <v>1022</v>
      </c>
      <c r="EP28" s="1340"/>
      <c r="EQ28" s="1340"/>
      <c r="ER28" s="1345" t="s">
        <v>1025</v>
      </c>
      <c r="ES28" s="1340"/>
      <c r="ET28" s="1523"/>
      <c r="EU28" s="1523"/>
    </row>
    <row r="29" spans="1:151" ht="14.25" customHeight="1">
      <c r="A29" s="7" t="s">
        <v>4</v>
      </c>
      <c r="B29" s="21" t="s">
        <v>523</v>
      </c>
      <c r="C29" s="22" t="s">
        <v>8</v>
      </c>
      <c r="D29" s="23" t="s">
        <v>31</v>
      </c>
      <c r="E29" s="21" t="s">
        <v>32</v>
      </c>
      <c r="F29" s="21">
        <v>24</v>
      </c>
      <c r="G29" s="6"/>
      <c r="H29" s="30" t="s">
        <v>54</v>
      </c>
      <c r="I29" s="196" t="s">
        <v>121</v>
      </c>
      <c r="J29" s="196" t="s">
        <v>121</v>
      </c>
      <c r="K29" s="196" t="s">
        <v>121</v>
      </c>
      <c r="L29" s="196" t="s">
        <v>121</v>
      </c>
      <c r="M29" s="196" t="s">
        <v>121</v>
      </c>
      <c r="N29" s="196" t="s">
        <v>713</v>
      </c>
      <c r="O29" s="196" t="s">
        <v>305</v>
      </c>
      <c r="P29" s="196" t="s">
        <v>34</v>
      </c>
      <c r="Q29" s="196" t="s">
        <v>35</v>
      </c>
      <c r="R29" s="196" t="s">
        <v>36</v>
      </c>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v>0</v>
      </c>
      <c r="AP29" s="168">
        <v>0</v>
      </c>
      <c r="AQ29" s="168">
        <v>0</v>
      </c>
      <c r="AR29" s="168">
        <v>0</v>
      </c>
      <c r="AS29" s="382" t="s">
        <v>438</v>
      </c>
      <c r="AT29" s="216"/>
      <c r="AU29" s="215"/>
      <c r="AV29" s="216"/>
      <c r="AW29" s="215"/>
      <c r="AX29" s="216"/>
      <c r="AY29" s="138" t="str">
        <f t="shared" si="30"/>
        <v xml:space="preserve"> - </v>
      </c>
      <c r="AZ29" s="139" t="str">
        <f t="shared" si="30"/>
        <v xml:space="preserve"> - </v>
      </c>
      <c r="BA29" s="139" t="str">
        <f t="shared" si="30"/>
        <v xml:space="preserve"> - </v>
      </c>
      <c r="BB29" s="139" t="str">
        <f t="shared" si="30"/>
        <v xml:space="preserve"> - </v>
      </c>
      <c r="BC29" s="135" t="str">
        <f t="shared" si="30"/>
        <v xml:space="preserve"> - </v>
      </c>
      <c r="BD29" s="136" t="str">
        <f t="shared" si="31"/>
        <v xml:space="preserve"> - </v>
      </c>
      <c r="BE29" s="137" t="str">
        <f t="shared" si="32"/>
        <v xml:space="preserve"> - </v>
      </c>
      <c r="BF29" s="137" t="str">
        <f t="shared" si="33"/>
        <v xml:space="preserve"> - </v>
      </c>
      <c r="BG29" s="209" t="str">
        <f t="shared" si="34"/>
        <v xml:space="preserve"> - </v>
      </c>
      <c r="BH29" s="168">
        <v>0</v>
      </c>
      <c r="BI29" s="168"/>
      <c r="BJ29" s="215"/>
      <c r="BK29" s="168"/>
      <c r="BL29" s="168"/>
      <c r="BM29" s="168">
        <v>850</v>
      </c>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v>1292</v>
      </c>
      <c r="CO29" s="170">
        <v>850</v>
      </c>
      <c r="CP29" s="170">
        <v>1292</v>
      </c>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50"/>
      <c r="DW29" s="850"/>
      <c r="DX29" s="850"/>
      <c r="DY29" s="850"/>
      <c r="DZ29" s="169"/>
      <c r="EA29" s="169"/>
      <c r="EB29" s="170"/>
      <c r="EC29" s="170"/>
      <c r="ED29" s="170"/>
      <c r="EE29" s="170"/>
      <c r="EF29" s="170"/>
      <c r="EG29" s="170"/>
      <c r="EH29" s="170"/>
      <c r="EI29" s="170"/>
      <c r="EJ29" s="170"/>
      <c r="EK29" s="170"/>
      <c r="EL29" s="168"/>
      <c r="EM29" s="168"/>
      <c r="EN29" s="168"/>
      <c r="EO29" s="8" t="s">
        <v>1046</v>
      </c>
      <c r="EP29" s="1337"/>
      <c r="EQ29" s="1337"/>
      <c r="ER29" s="1343">
        <v>3500</v>
      </c>
      <c r="ES29" s="1337"/>
      <c r="ET29" s="1523"/>
      <c r="EU29" s="1523"/>
    </row>
    <row r="30" spans="1:151" ht="14.25" customHeight="1" thickBot="1">
      <c r="A30" s="77" t="s">
        <v>5</v>
      </c>
      <c r="B30" s="78" t="s">
        <v>523</v>
      </c>
      <c r="C30" s="79" t="s">
        <v>9</v>
      </c>
      <c r="D30" s="80"/>
      <c r="E30" s="81"/>
      <c r="F30" s="81"/>
      <c r="G30" s="82"/>
      <c r="H30" s="83"/>
      <c r="I30" s="197">
        <f t="shared" ref="I30:AO30" si="35">SUBTOTAL(9,I28:I29)</f>
        <v>0</v>
      </c>
      <c r="J30" s="197">
        <f t="shared" si="35"/>
        <v>0</v>
      </c>
      <c r="K30" s="197">
        <f t="shared" si="35"/>
        <v>0</v>
      </c>
      <c r="L30" s="197">
        <f t="shared" si="35"/>
        <v>0</v>
      </c>
      <c r="M30" s="197">
        <f t="shared" si="35"/>
        <v>0</v>
      </c>
      <c r="N30" s="197">
        <f t="shared" si="35"/>
        <v>0</v>
      </c>
      <c r="O30" s="197">
        <f t="shared" si="35"/>
        <v>0</v>
      </c>
      <c r="P30" s="197">
        <f t="shared" si="35"/>
        <v>0</v>
      </c>
      <c r="Q30" s="197">
        <f t="shared" si="35"/>
        <v>0</v>
      </c>
      <c r="R30" s="197">
        <f t="shared" si="35"/>
        <v>0</v>
      </c>
      <c r="S30" s="197">
        <f t="shared" si="35"/>
        <v>0</v>
      </c>
      <c r="T30" s="197">
        <f t="shared" si="35"/>
        <v>0</v>
      </c>
      <c r="U30" s="197">
        <f t="shared" si="35"/>
        <v>0</v>
      </c>
      <c r="V30" s="197">
        <f t="shared" si="35"/>
        <v>0</v>
      </c>
      <c r="W30" s="197">
        <f t="shared" si="35"/>
        <v>0</v>
      </c>
      <c r="X30" s="141">
        <f t="shared" si="35"/>
        <v>0</v>
      </c>
      <c r="Y30" s="217">
        <f t="shared" si="35"/>
        <v>0</v>
      </c>
      <c r="Z30" s="197">
        <f t="shared" si="35"/>
        <v>0</v>
      </c>
      <c r="AA30" s="197">
        <f t="shared" si="35"/>
        <v>0</v>
      </c>
      <c r="AB30" s="197">
        <f t="shared" si="35"/>
        <v>0</v>
      </c>
      <c r="AC30" s="197">
        <f t="shared" si="35"/>
        <v>0</v>
      </c>
      <c r="AD30" s="197">
        <f t="shared" si="35"/>
        <v>0</v>
      </c>
      <c r="AE30" s="197">
        <f t="shared" si="35"/>
        <v>0</v>
      </c>
      <c r="AF30" s="141">
        <f t="shared" si="35"/>
        <v>0</v>
      </c>
      <c r="AG30" s="217">
        <f t="shared" si="35"/>
        <v>0</v>
      </c>
      <c r="AH30" s="197">
        <f t="shared" si="35"/>
        <v>0</v>
      </c>
      <c r="AI30" s="197">
        <f t="shared" si="35"/>
        <v>0</v>
      </c>
      <c r="AJ30" s="142">
        <f t="shared" si="35"/>
        <v>0</v>
      </c>
      <c r="AK30" s="218">
        <f t="shared" si="35"/>
        <v>0</v>
      </c>
      <c r="AL30" s="197">
        <f t="shared" si="35"/>
        <v>0</v>
      </c>
      <c r="AM30" s="197">
        <f t="shared" si="35"/>
        <v>0</v>
      </c>
      <c r="AN30" s="141">
        <f t="shared" si="35"/>
        <v>0</v>
      </c>
      <c r="AO30" s="153">
        <f t="shared" si="35"/>
        <v>0</v>
      </c>
      <c r="AP30" s="153">
        <f>SUBTOTAL(9,AP28:AP29)-AP29</f>
        <v>0</v>
      </c>
      <c r="AQ30" s="153">
        <f>SUBTOTAL(9,AQ28:AQ29)</f>
        <v>0</v>
      </c>
      <c r="AR30" s="153">
        <f>SUBTOTAL(9,AR28:AR29)-AR29</f>
        <v>0</v>
      </c>
      <c r="AS30" s="383">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 t="shared" si="31"/>
        <v xml:space="preserve"> - </v>
      </c>
      <c r="BE30" s="141" t="str">
        <f t="shared" si="32"/>
        <v xml:space="preserve"> - </v>
      </c>
      <c r="BF30" s="141" t="str">
        <f t="shared" si="33"/>
        <v xml:space="preserve"> - </v>
      </c>
      <c r="BG30" s="142" t="str">
        <f t="shared" si="34"/>
        <v xml:space="preserve"> - </v>
      </c>
      <c r="BH30" s="153">
        <f>SUBTOTAL(9,BH28:BH29)-BH29</f>
        <v>0</v>
      </c>
      <c r="BI30" s="153">
        <f>SUBTOTAL(9,BI28:BI29)-BI29</f>
        <v>0</v>
      </c>
      <c r="BJ30" s="217"/>
      <c r="BK30" s="153">
        <f>SUBTOTAL(9,BK28:BK29)</f>
        <v>0</v>
      </c>
      <c r="BL30" s="153"/>
      <c r="BM30" s="153">
        <f>AVERAGE(BM28:BM29)</f>
        <v>850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1348"/>
      <c r="EP30" s="383"/>
      <c r="EQ30" s="383"/>
      <c r="ER30" s="164">
        <f>AVERAGE(ER28:ER29)</f>
        <v>3500</v>
      </c>
      <c r="ES30" s="164"/>
      <c r="ET30" s="153"/>
      <c r="EU30" s="1525"/>
    </row>
    <row r="31" spans="1:151" ht="14.25" customHeight="1" thickBot="1">
      <c r="A31" s="96" t="s">
        <v>6</v>
      </c>
      <c r="B31" s="97"/>
      <c r="C31" s="98" t="s">
        <v>41</v>
      </c>
      <c r="D31" s="99"/>
      <c r="E31" s="97"/>
      <c r="F31" s="97"/>
      <c r="G31" s="100"/>
      <c r="H31" s="101"/>
      <c r="I31" s="144">
        <f t="shared" ref="I31:AT31" si="36">SUBTOTAL(9,I9:I30)</f>
        <v>32321</v>
      </c>
      <c r="J31" s="144">
        <f t="shared" si="36"/>
        <v>114290</v>
      </c>
      <c r="K31" s="144">
        <f t="shared" si="36"/>
        <v>117387</v>
      </c>
      <c r="L31" s="144">
        <f t="shared" si="36"/>
        <v>31688</v>
      </c>
      <c r="M31" s="144">
        <f t="shared" si="36"/>
        <v>17857</v>
      </c>
      <c r="N31" s="144">
        <f t="shared" si="36"/>
        <v>77534</v>
      </c>
      <c r="O31" s="144">
        <f t="shared" si="36"/>
        <v>16121</v>
      </c>
      <c r="P31" s="144">
        <f t="shared" si="36"/>
        <v>9708</v>
      </c>
      <c r="Q31" s="144">
        <f t="shared" si="36"/>
        <v>12119</v>
      </c>
      <c r="R31" s="144">
        <f t="shared" si="36"/>
        <v>25537</v>
      </c>
      <c r="S31" s="144">
        <f t="shared" si="36"/>
        <v>29498</v>
      </c>
      <c r="T31" s="144">
        <f t="shared" si="36"/>
        <v>99868</v>
      </c>
      <c r="U31" s="144">
        <f t="shared" si="36"/>
        <v>97527</v>
      </c>
      <c r="V31" s="144">
        <f t="shared" si="36"/>
        <v>32321</v>
      </c>
      <c r="W31" s="144">
        <f t="shared" si="36"/>
        <v>12606</v>
      </c>
      <c r="X31" s="144">
        <f t="shared" si="36"/>
        <v>65772</v>
      </c>
      <c r="Y31" s="144">
        <f t="shared" si="36"/>
        <v>451</v>
      </c>
      <c r="Z31" s="144">
        <f t="shared" si="36"/>
        <v>4536</v>
      </c>
      <c r="AA31" s="144">
        <f t="shared" si="36"/>
        <v>4251</v>
      </c>
      <c r="AB31" s="144">
        <f t="shared" si="36"/>
        <v>756</v>
      </c>
      <c r="AC31" s="144">
        <f t="shared" si="36"/>
        <v>6</v>
      </c>
      <c r="AD31" s="144">
        <f t="shared" si="36"/>
        <v>538</v>
      </c>
      <c r="AE31" s="144">
        <f t="shared" si="36"/>
        <v>543</v>
      </c>
      <c r="AF31" s="144">
        <f t="shared" si="36"/>
        <v>1</v>
      </c>
      <c r="AG31" s="144">
        <f t="shared" si="36"/>
        <v>567</v>
      </c>
      <c r="AH31" s="144">
        <f t="shared" si="36"/>
        <v>3419</v>
      </c>
      <c r="AI31" s="144">
        <f t="shared" si="36"/>
        <v>3535</v>
      </c>
      <c r="AJ31" s="144">
        <f t="shared" si="36"/>
        <v>451</v>
      </c>
      <c r="AK31" s="144">
        <f t="shared" si="36"/>
        <v>5</v>
      </c>
      <c r="AL31" s="144">
        <f t="shared" si="36"/>
        <v>205</v>
      </c>
      <c r="AM31" s="144">
        <f t="shared" si="36"/>
        <v>204</v>
      </c>
      <c r="AN31" s="224">
        <f t="shared" si="36"/>
        <v>6</v>
      </c>
      <c r="AO31" s="225">
        <v>38</v>
      </c>
      <c r="AP31" s="225">
        <v>38</v>
      </c>
      <c r="AQ31" s="225">
        <v>38</v>
      </c>
      <c r="AR31" s="225">
        <v>38</v>
      </c>
      <c r="AS31" s="166">
        <f t="shared" si="36"/>
        <v>0</v>
      </c>
      <c r="AT31" s="166">
        <f t="shared" si="36"/>
        <v>0</v>
      </c>
      <c r="AU31" s="225"/>
      <c r="AV31" s="226"/>
      <c r="AW31" s="225"/>
      <c r="AX31" s="226"/>
      <c r="AY31" s="143">
        <f>SUBTOTAL(9,AY9:AY30)</f>
        <v>30065</v>
      </c>
      <c r="AZ31" s="144">
        <f>SUBTOTAL(9,AZ9:AZ30)</f>
        <v>103287</v>
      </c>
      <c r="BA31" s="144">
        <f>SUBTOTAL(9,BA9:BA30)</f>
        <v>101062</v>
      </c>
      <c r="BB31" s="144">
        <f>SUBTOTAL(9,BB9:BB30)</f>
        <v>32772</v>
      </c>
      <c r="BC31" s="145">
        <f>SUBTOTAL(9,BC9:BC30)</f>
        <v>22885</v>
      </c>
      <c r="BD31" s="227">
        <f>IF(ISNUMBER(BA31/AZ31),BA31/AZ31," - ")</f>
        <v>0.97845808281777957</v>
      </c>
      <c r="BE31" s="224">
        <f>IF(ISNUMBER(BB31/BA31),BB31/BA31, " - ")</f>
        <v>0.32427618689517324</v>
      </c>
      <c r="BF31" s="224">
        <f>IF(ISNUMBER(BC31/BA31),BC31/BA31, " - ")</f>
        <v>0.22644515248065544</v>
      </c>
      <c r="BG31" s="145">
        <f>IF(ISNUMBER((AY31+AZ31)/BA31),(AY31+AZ31)/BA31," - ")</f>
        <v>1.3195068373869505</v>
      </c>
      <c r="BH31" s="225">
        <f>SUBTOTAL(9,BH9:BH30)</f>
        <v>41</v>
      </c>
      <c r="BI31" s="225">
        <v>0</v>
      </c>
      <c r="BJ31" s="225"/>
      <c r="BK31" s="225">
        <f>SUBTOTAL(9,BK9:BK30)</f>
        <v>0</v>
      </c>
      <c r="BL31" s="225"/>
      <c r="BM31" s="225">
        <f>AVERAGE(BM9:BM30)</f>
        <v>1277.6691729323309</v>
      </c>
      <c r="BN31" s="225"/>
      <c r="BO31" s="225"/>
      <c r="BP31" s="225"/>
      <c r="BQ31" s="225"/>
      <c r="BR31" s="225"/>
      <c r="BS31" s="225"/>
      <c r="BT31" s="225"/>
      <c r="BU31" s="225"/>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f>SUBTOTAL(9,CN9:CN30)</f>
        <v>16622.2</v>
      </c>
      <c r="CO31" s="225">
        <f>SUBTOTAL(9,CO9:CO30)</f>
        <v>24135</v>
      </c>
      <c r="CP31" s="225">
        <f>SUBTOTAL(9,CP9:CP30)</f>
        <v>16622.2</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N31" si="37">SUBTOTAL(9,DM9:DM30)</f>
        <v>0</v>
      </c>
      <c r="DN31" s="166">
        <f t="shared" si="37"/>
        <v>0</v>
      </c>
      <c r="DO31" s="166">
        <f t="shared" si="37"/>
        <v>0</v>
      </c>
      <c r="DP31" s="166">
        <f t="shared" si="37"/>
        <v>0</v>
      </c>
      <c r="DQ31" s="166">
        <f t="shared" si="37"/>
        <v>0</v>
      </c>
      <c r="DR31" s="166">
        <f t="shared" si="37"/>
        <v>0</v>
      </c>
      <c r="DS31" s="166">
        <f t="shared" si="37"/>
        <v>0</v>
      </c>
      <c r="DT31" s="166">
        <f t="shared" si="37"/>
        <v>0</v>
      </c>
      <c r="DU31" s="166">
        <f t="shared" si="37"/>
        <v>0</v>
      </c>
      <c r="DV31" s="166">
        <f t="shared" si="37"/>
        <v>0</v>
      </c>
      <c r="DW31" s="166">
        <f t="shared" si="37"/>
        <v>0</v>
      </c>
      <c r="DX31" s="166">
        <f t="shared" si="37"/>
        <v>0</v>
      </c>
      <c r="DY31" s="166">
        <f t="shared" si="37"/>
        <v>0</v>
      </c>
      <c r="DZ31" s="166">
        <f t="shared" si="37"/>
        <v>0</v>
      </c>
      <c r="EA31" s="166">
        <f t="shared" si="37"/>
        <v>0</v>
      </c>
      <c r="EB31" s="166">
        <f t="shared" si="37"/>
        <v>0</v>
      </c>
      <c r="EC31" s="166">
        <f t="shared" si="37"/>
        <v>0</v>
      </c>
      <c r="ED31" s="166">
        <f t="shared" si="37"/>
        <v>0</v>
      </c>
      <c r="EE31" s="166">
        <f t="shared" si="37"/>
        <v>0</v>
      </c>
      <c r="EF31" s="166">
        <f t="shared" si="37"/>
        <v>0</v>
      </c>
      <c r="EG31" s="166">
        <f t="shared" si="37"/>
        <v>0</v>
      </c>
      <c r="EH31" s="166">
        <f t="shared" si="37"/>
        <v>0</v>
      </c>
      <c r="EI31" s="166">
        <f t="shared" si="37"/>
        <v>0</v>
      </c>
      <c r="EJ31" s="166">
        <f t="shared" si="37"/>
        <v>0</v>
      </c>
      <c r="EK31" s="166">
        <f t="shared" si="37"/>
        <v>0</v>
      </c>
      <c r="EL31" s="166">
        <f t="shared" si="37"/>
        <v>0</v>
      </c>
      <c r="EM31" s="166">
        <f t="shared" si="37"/>
        <v>0</v>
      </c>
      <c r="EN31" s="166">
        <f t="shared" si="37"/>
        <v>0</v>
      </c>
      <c r="EO31" s="1351"/>
      <c r="EP31" s="166">
        <f>SUBTOTAL(9,EP9:EP30)</f>
        <v>0</v>
      </c>
      <c r="EQ31" s="166">
        <f>SUBTOTAL(9,EQ9:EQ30)</f>
        <v>0</v>
      </c>
      <c r="ER31" s="164">
        <f>AVERAGE(ER9:ER30)</f>
        <v>1859.2058823529412</v>
      </c>
      <c r="ES31" s="164">
        <f>AVERAGE(ES9:ES30)</f>
        <v>0</v>
      </c>
      <c r="ET31" s="1525"/>
      <c r="EU31" s="1525"/>
    </row>
    <row r="32" spans="1:151"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t5t3Rn6opGG3oNhSiYAtJfnScDPMG1/VrC9i7WoeaQ5KD5ng4GSbCFGyRLX5pSyv1o5TKyGvIE0PAn5Eo08qEg==" saltValue="9jKzPf8nfZKDcwylm2MV+g==" spinCount="100000" sheet="1" objects="1" scenarios="1"/>
  <mergeCells count="119">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BR6:BR7"/>
    <mergeCell ref="CJ5:CJ7"/>
    <mergeCell ref="CK5:CK7"/>
    <mergeCell ref="CR5:CR7"/>
    <mergeCell ref="CB5:CB7"/>
    <mergeCell ref="CC5:CC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D5:CD7"/>
    <mergeCell ref="CL5:CL7"/>
    <mergeCell ref="DD5:DD7"/>
    <mergeCell ref="DF5:DF7"/>
    <mergeCell ref="CM5:CM7"/>
    <mergeCell ref="CS5:CS7"/>
    <mergeCell ref="CP5:CP7"/>
    <mergeCell ref="DB5:DB7"/>
    <mergeCell ref="DC5:DC7"/>
    <mergeCell ref="CT5:CT7"/>
    <mergeCell ref="CV5:CV7"/>
    <mergeCell ref="CU5:CU7"/>
    <mergeCell ref="DA5:DA7"/>
    <mergeCell ref="CW5:CW7"/>
    <mergeCell ref="CI5:CI7"/>
    <mergeCell ref="CN5:CN7"/>
    <mergeCell ref="CO5:CO7"/>
    <mergeCell ref="DH5:DH7"/>
    <mergeCell ref="CY5:CY7"/>
    <mergeCell ref="DG5:DG7"/>
    <mergeCell ref="DE5:DE7"/>
    <mergeCell ref="CQ5:CQ7"/>
    <mergeCell ref="DI5:DI7"/>
    <mergeCell ref="DS5:DS7"/>
    <mergeCell ref="DT5:DT7"/>
    <mergeCell ref="DU5:DU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9:AX13 AS16:AX22 BK12:BX13 CA12:CJ13 BH25:BX25 BZ28:DG29 CV16:DG22 BZ25:DL25 DH20:DL21 DH16:DL18 CV11:DL13 BJ10:DL10 BK20:CU21 BK16:CJ16 BH9:EA9 EB16:EK22 EO10 EO13 EO18:EO22 EO25 EO28 EP9:EQ13 EP28:EQ29 EP16:EQ22 DF9:DF13 DM10:EN13 ES9:ES13">
    <cfRule type="cellIs" dxfId="2866" priority="2217" stopIfTrue="1" operator="equal">
      <formula>$A$43</formula>
    </cfRule>
  </conditionalFormatting>
  <conditionalFormatting sqref="BD15:BG15 BD27:BG27 I8:DF8 BH26:DF27 I1:DG1 BH23:EJ23 I23:BC24 I26:BC27 I14:BC15 DJ8 BD24:DL24 EB24:EK24 BH14:DL15 I30:DL31 EM14:EN14 EP15:EQ15 EP24:EQ24 EO30:EQ30 EO31 EO14:EO15 EO23:EO24">
    <cfRule type="cellIs" dxfId="2865" priority="2218"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P11:EQ11 EP17:EQ17 EO19:EQ19 EO22:EQ22 ES19 ES22">
    <cfRule type="cellIs" dxfId="2864" priority="2219" stopIfTrue="1" operator="equal">
      <formula>$A$42</formula>
    </cfRule>
  </conditionalFormatting>
  <conditionalFormatting sqref="BT17:BU17">
    <cfRule type="cellIs" dxfId="2863" priority="2023" stopIfTrue="1" operator="equal">
      <formula>$A$43</formula>
    </cfRule>
  </conditionalFormatting>
  <conditionalFormatting sqref="DE25">
    <cfRule type="cellIs" dxfId="2862" priority="2022" stopIfTrue="1" operator="equal">
      <formula>$A$43</formula>
    </cfRule>
  </conditionalFormatting>
  <conditionalFormatting sqref="DE24">
    <cfRule type="cellIs" dxfId="2861" priority="2021" stopIfTrue="1" operator="equal">
      <formula>$A$43</formula>
    </cfRule>
  </conditionalFormatting>
  <conditionalFormatting sqref="DE17">
    <cfRule type="cellIs" dxfId="2860" priority="2020" stopIfTrue="1" operator="equal">
      <formula>$A$42</formula>
    </cfRule>
  </conditionalFormatting>
  <conditionalFormatting sqref="BN28">
    <cfRule type="cellIs" dxfId="2859" priority="2019" stopIfTrue="1" operator="equal">
      <formula>$A$43</formula>
    </cfRule>
  </conditionalFormatting>
  <conditionalFormatting sqref="BN26:BU27">
    <cfRule type="cellIs" dxfId="2858" priority="2018" stopIfTrue="1" operator="equal">
      <formula>$A$43</formula>
    </cfRule>
  </conditionalFormatting>
  <conditionalFormatting sqref="BN17:BU17">
    <cfRule type="cellIs" dxfId="2857" priority="2017" stopIfTrue="1" operator="equal">
      <formula>$A$42</formula>
    </cfRule>
  </conditionalFormatting>
  <conditionalFormatting sqref="BN13:BO13">
    <cfRule type="cellIs" dxfId="2856" priority="2015" stopIfTrue="1" operator="equal">
      <formula>$A$42</formula>
    </cfRule>
  </conditionalFormatting>
  <conditionalFormatting sqref="BT13:BU13">
    <cfRule type="cellIs" dxfId="2855" priority="2014" stopIfTrue="1" operator="equal">
      <formula>$A$42</formula>
    </cfRule>
  </conditionalFormatting>
  <conditionalFormatting sqref="DB26:DE27">
    <cfRule type="cellIs" dxfId="2854" priority="2011" stopIfTrue="1" operator="equal">
      <formula>$A$43</formula>
    </cfRule>
  </conditionalFormatting>
  <conditionalFormatting sqref="DB17:DE17">
    <cfRule type="cellIs" dxfId="2853" priority="2010" stopIfTrue="1" operator="equal">
      <formula>$A$42</formula>
    </cfRule>
  </conditionalFormatting>
  <conditionalFormatting sqref="DB26:DE27">
    <cfRule type="cellIs" dxfId="2852" priority="2007" stopIfTrue="1" operator="equal">
      <formula>$A$43</formula>
    </cfRule>
  </conditionalFormatting>
  <conditionalFormatting sqref="DB17:DE17">
    <cfRule type="cellIs" dxfId="2851" priority="2006" stopIfTrue="1" operator="equal">
      <formula>$A$42</formula>
    </cfRule>
  </conditionalFormatting>
  <conditionalFormatting sqref="DB16">
    <cfRule type="cellIs" dxfId="2850" priority="2004" stopIfTrue="1" operator="equal">
      <formula>$A$42</formula>
    </cfRule>
  </conditionalFormatting>
  <conditionalFormatting sqref="DE18">
    <cfRule type="cellIs" dxfId="2849" priority="2003" stopIfTrue="1" operator="equal">
      <formula>$A$42</formula>
    </cfRule>
  </conditionalFormatting>
  <conditionalFormatting sqref="DE21">
    <cfRule type="cellIs" dxfId="2848" priority="2002" stopIfTrue="1" operator="equal">
      <formula>$A$42</formula>
    </cfRule>
  </conditionalFormatting>
  <conditionalFormatting sqref="DB16:DE22">
    <cfRule type="cellIs" dxfId="2847" priority="1999" stopIfTrue="1" operator="equal">
      <formula>$A$43</formula>
    </cfRule>
  </conditionalFormatting>
  <conditionalFormatting sqref="DB14:DE15">
    <cfRule type="cellIs" dxfId="2846" priority="1998" stopIfTrue="1" operator="equal">
      <formula>$A$43</formula>
    </cfRule>
  </conditionalFormatting>
  <conditionalFormatting sqref="DB17:DE17">
    <cfRule type="cellIs" dxfId="2845" priority="1997" stopIfTrue="1" operator="equal">
      <formula>$A$42</formula>
    </cfRule>
  </conditionalFormatting>
  <conditionalFormatting sqref="DB16:DE22">
    <cfRule type="cellIs" dxfId="2844" priority="1995" stopIfTrue="1" operator="equal">
      <formula>$A$43</formula>
    </cfRule>
  </conditionalFormatting>
  <conditionalFormatting sqref="DB14:DE15">
    <cfRule type="cellIs" dxfId="2843" priority="1994" stopIfTrue="1" operator="equal">
      <formula>$A$43</formula>
    </cfRule>
  </conditionalFormatting>
  <conditionalFormatting sqref="DB17:DE17">
    <cfRule type="cellIs" dxfId="2842" priority="1993" stopIfTrue="1" operator="equal">
      <formula>$A$42</formula>
    </cfRule>
  </conditionalFormatting>
  <conditionalFormatting sqref="DB16">
    <cfRule type="cellIs" dxfId="2841" priority="1991" stopIfTrue="1" operator="equal">
      <formula>$A$42</formula>
    </cfRule>
  </conditionalFormatting>
  <conditionalFormatting sqref="DE18">
    <cfRule type="cellIs" dxfId="2840" priority="1990" stopIfTrue="1" operator="equal">
      <formula>$A$42</formula>
    </cfRule>
  </conditionalFormatting>
  <conditionalFormatting sqref="DE21">
    <cfRule type="cellIs" dxfId="2839" priority="1989" stopIfTrue="1" operator="equal">
      <formula>$A$42</formula>
    </cfRule>
  </conditionalFormatting>
  <conditionalFormatting sqref="DB13">
    <cfRule type="cellIs" dxfId="2838" priority="1988" stopIfTrue="1" operator="equal">
      <formula>$A$43</formula>
    </cfRule>
  </conditionalFormatting>
  <conditionalFormatting sqref="DB13">
    <cfRule type="cellIs" dxfId="2837" priority="1987" stopIfTrue="1" operator="equal">
      <formula>$A$43</formula>
    </cfRule>
  </conditionalFormatting>
  <conditionalFormatting sqref="DB13">
    <cfRule type="cellIs" dxfId="2836" priority="1986" stopIfTrue="1" operator="equal">
      <formula>$A$43</formula>
    </cfRule>
  </conditionalFormatting>
  <conditionalFormatting sqref="DB13">
    <cfRule type="cellIs" dxfId="2835" priority="1985" stopIfTrue="1" operator="equal">
      <formula>$A$43</formula>
    </cfRule>
  </conditionalFormatting>
  <conditionalFormatting sqref="DB13">
    <cfRule type="cellIs" dxfId="2834" priority="1984" stopIfTrue="1" operator="equal">
      <formula>$A$43</formula>
    </cfRule>
  </conditionalFormatting>
  <conditionalFormatting sqref="DB13">
    <cfRule type="cellIs" dxfId="2833" priority="1983" stopIfTrue="1" operator="equal">
      <formula>$A$43</formula>
    </cfRule>
  </conditionalFormatting>
  <conditionalFormatting sqref="DF1:DG1">
    <cfRule type="cellIs" dxfId="2832" priority="1982" stopIfTrue="1" operator="equal">
      <formula>$A$43</formula>
    </cfRule>
  </conditionalFormatting>
  <conditionalFormatting sqref="DF25">
    <cfRule type="cellIs" dxfId="2831" priority="1981" stopIfTrue="1" operator="equal">
      <formula>$A$43</formula>
    </cfRule>
  </conditionalFormatting>
  <conditionalFormatting sqref="DF24">
    <cfRule type="cellIs" dxfId="2830" priority="1980" stopIfTrue="1" operator="equal">
      <formula>$A$43</formula>
    </cfRule>
  </conditionalFormatting>
  <conditionalFormatting sqref="DF17">
    <cfRule type="cellIs" dxfId="2829" priority="1979" stopIfTrue="1" operator="equal">
      <formula>$A$42</formula>
    </cfRule>
  </conditionalFormatting>
  <conditionalFormatting sqref="DF26:DF27">
    <cfRule type="cellIs" dxfId="2828" priority="1977" stopIfTrue="1" operator="equal">
      <formula>$A$43</formula>
    </cfRule>
  </conditionalFormatting>
  <conditionalFormatting sqref="DF17">
    <cfRule type="cellIs" dxfId="2827" priority="1976" stopIfTrue="1" operator="equal">
      <formula>$A$42</formula>
    </cfRule>
  </conditionalFormatting>
  <conditionalFormatting sqref="DF26:DF27">
    <cfRule type="cellIs" dxfId="2826" priority="1974" stopIfTrue="1" operator="equal">
      <formula>$A$43</formula>
    </cfRule>
  </conditionalFormatting>
  <conditionalFormatting sqref="DF17">
    <cfRule type="cellIs" dxfId="2825" priority="1973" stopIfTrue="1" operator="equal">
      <formula>$A$42</formula>
    </cfRule>
  </conditionalFormatting>
  <conditionalFormatting sqref="DF18">
    <cfRule type="cellIs" dxfId="2824" priority="1972" stopIfTrue="1" operator="equal">
      <formula>$A$42</formula>
    </cfRule>
  </conditionalFormatting>
  <conditionalFormatting sqref="DF21">
    <cfRule type="cellIs" dxfId="2823" priority="1971" stopIfTrue="1" operator="equal">
      <formula>$A$42</formula>
    </cfRule>
  </conditionalFormatting>
  <conditionalFormatting sqref="DF16:DF22">
    <cfRule type="cellIs" dxfId="2822" priority="1968" stopIfTrue="1" operator="equal">
      <formula>$A$43</formula>
    </cfRule>
  </conditionalFormatting>
  <conditionalFormatting sqref="DF14:DF15">
    <cfRule type="cellIs" dxfId="2821" priority="1967" stopIfTrue="1" operator="equal">
      <formula>$A$43</formula>
    </cfRule>
  </conditionalFormatting>
  <conditionalFormatting sqref="DF17">
    <cfRule type="cellIs" dxfId="2820" priority="1966" stopIfTrue="1" operator="equal">
      <formula>$A$42</formula>
    </cfRule>
  </conditionalFormatting>
  <conditionalFormatting sqref="DF16:DF22">
    <cfRule type="cellIs" dxfId="2819" priority="1965" stopIfTrue="1" operator="equal">
      <formula>$A$43</formula>
    </cfRule>
  </conditionalFormatting>
  <conditionalFormatting sqref="DF14:DF15">
    <cfRule type="cellIs" dxfId="2818" priority="1964" stopIfTrue="1" operator="equal">
      <formula>$A$43</formula>
    </cfRule>
  </conditionalFormatting>
  <conditionalFormatting sqref="DF17">
    <cfRule type="cellIs" dxfId="2817" priority="1963" stopIfTrue="1" operator="equal">
      <formula>$A$42</formula>
    </cfRule>
  </conditionalFormatting>
  <conditionalFormatting sqref="DF18">
    <cfRule type="cellIs" dxfId="2816" priority="1962" stopIfTrue="1" operator="equal">
      <formula>$A$42</formula>
    </cfRule>
  </conditionalFormatting>
  <conditionalFormatting sqref="DF21">
    <cfRule type="cellIs" dxfId="2815" priority="1961" stopIfTrue="1" operator="equal">
      <formula>$A$42</formula>
    </cfRule>
  </conditionalFormatting>
  <conditionalFormatting sqref="DB26:DE27">
    <cfRule type="cellIs" dxfId="2814" priority="1959" stopIfTrue="1" operator="equal">
      <formula>$A$43</formula>
    </cfRule>
  </conditionalFormatting>
  <conditionalFormatting sqref="DB17:DE17">
    <cfRule type="cellIs" dxfId="2813" priority="1958" stopIfTrue="1" operator="equal">
      <formula>$A$42</formula>
    </cfRule>
  </conditionalFormatting>
  <conditionalFormatting sqref="DB26:DE27">
    <cfRule type="cellIs" dxfId="2812" priority="1955" stopIfTrue="1" operator="equal">
      <formula>$A$43</formula>
    </cfRule>
  </conditionalFormatting>
  <conditionalFormatting sqref="DB17:DE17">
    <cfRule type="cellIs" dxfId="2811" priority="1954" stopIfTrue="1" operator="equal">
      <formula>$A$42</formula>
    </cfRule>
  </conditionalFormatting>
  <conditionalFormatting sqref="DB16">
    <cfRule type="cellIs" dxfId="2810" priority="1952" stopIfTrue="1" operator="equal">
      <formula>$A$42</formula>
    </cfRule>
  </conditionalFormatting>
  <conditionalFormatting sqref="DE18">
    <cfRule type="cellIs" dxfId="2809" priority="1951" stopIfTrue="1" operator="equal">
      <formula>$A$42</formula>
    </cfRule>
  </conditionalFormatting>
  <conditionalFormatting sqref="DE21">
    <cfRule type="cellIs" dxfId="2808" priority="1950" stopIfTrue="1" operator="equal">
      <formula>$A$42</formula>
    </cfRule>
  </conditionalFormatting>
  <conditionalFormatting sqref="DB13">
    <cfRule type="cellIs" dxfId="2807" priority="1947" stopIfTrue="1" operator="equal">
      <formula>$A$43</formula>
    </cfRule>
  </conditionalFormatting>
  <conditionalFormatting sqref="DB13">
    <cfRule type="cellIs" dxfId="2806" priority="1946" stopIfTrue="1" operator="equal">
      <formula>$A$43</formula>
    </cfRule>
  </conditionalFormatting>
  <conditionalFormatting sqref="DB13">
    <cfRule type="cellIs" dxfId="2805" priority="1945" stopIfTrue="1" operator="equal">
      <formula>$A$43</formula>
    </cfRule>
  </conditionalFormatting>
  <conditionalFormatting sqref="DB13">
    <cfRule type="cellIs" dxfId="2804" priority="1944" stopIfTrue="1" operator="equal">
      <formula>$A$43</formula>
    </cfRule>
  </conditionalFormatting>
  <conditionalFormatting sqref="DB13">
    <cfRule type="cellIs" dxfId="2803" priority="1943" stopIfTrue="1" operator="equal">
      <formula>$A$43</formula>
    </cfRule>
  </conditionalFormatting>
  <conditionalFormatting sqref="DB13">
    <cfRule type="cellIs" dxfId="2802" priority="1942" stopIfTrue="1" operator="equal">
      <formula>$A$43</formula>
    </cfRule>
  </conditionalFormatting>
  <conditionalFormatting sqref="DF25">
    <cfRule type="cellIs" dxfId="2801" priority="1941" stopIfTrue="1" operator="equal">
      <formula>$A$43</formula>
    </cfRule>
  </conditionalFormatting>
  <conditionalFormatting sqref="DF24">
    <cfRule type="cellIs" dxfId="2800" priority="1940" stopIfTrue="1" operator="equal">
      <formula>$A$43</formula>
    </cfRule>
  </conditionalFormatting>
  <conditionalFormatting sqref="DF17">
    <cfRule type="cellIs" dxfId="2799" priority="1939" stopIfTrue="1" operator="equal">
      <formula>$A$42</formula>
    </cfRule>
  </conditionalFormatting>
  <conditionalFormatting sqref="DF26:DF27">
    <cfRule type="cellIs" dxfId="2798" priority="1937" stopIfTrue="1" operator="equal">
      <formula>$A$43</formula>
    </cfRule>
  </conditionalFormatting>
  <conditionalFormatting sqref="DF17">
    <cfRule type="cellIs" dxfId="2797" priority="1936" stopIfTrue="1" operator="equal">
      <formula>$A$42</formula>
    </cfRule>
  </conditionalFormatting>
  <conditionalFormatting sqref="DF26:DF27">
    <cfRule type="cellIs" dxfId="2796" priority="1934" stopIfTrue="1" operator="equal">
      <formula>$A$43</formula>
    </cfRule>
  </conditionalFormatting>
  <conditionalFormatting sqref="DF17">
    <cfRule type="cellIs" dxfId="2795" priority="1933" stopIfTrue="1" operator="equal">
      <formula>$A$42</formula>
    </cfRule>
  </conditionalFormatting>
  <conditionalFormatting sqref="DF18">
    <cfRule type="cellIs" dxfId="2794" priority="1932" stopIfTrue="1" operator="equal">
      <formula>$A$42</formula>
    </cfRule>
  </conditionalFormatting>
  <conditionalFormatting sqref="DF21">
    <cfRule type="cellIs" dxfId="2793" priority="1931" stopIfTrue="1" operator="equal">
      <formula>$A$42</formula>
    </cfRule>
  </conditionalFormatting>
  <conditionalFormatting sqref="DF14:DF15">
    <cfRule type="cellIs" dxfId="2792" priority="1927" stopIfTrue="1" operator="equal">
      <formula>$A$43</formula>
    </cfRule>
  </conditionalFormatting>
  <conditionalFormatting sqref="DF17">
    <cfRule type="cellIs" dxfId="2791" priority="1926" stopIfTrue="1" operator="equal">
      <formula>$A$42</formula>
    </cfRule>
  </conditionalFormatting>
  <conditionalFormatting sqref="DF14:DF15">
    <cfRule type="cellIs" dxfId="2790" priority="1924" stopIfTrue="1" operator="equal">
      <formula>$A$43</formula>
    </cfRule>
  </conditionalFormatting>
  <conditionalFormatting sqref="DF17">
    <cfRule type="cellIs" dxfId="2789" priority="1923" stopIfTrue="1" operator="equal">
      <formula>$A$42</formula>
    </cfRule>
  </conditionalFormatting>
  <conditionalFormatting sqref="DF18">
    <cfRule type="cellIs" dxfId="2788" priority="1922" stopIfTrue="1" operator="equal">
      <formula>$A$42</formula>
    </cfRule>
  </conditionalFormatting>
  <conditionalFormatting sqref="DF21">
    <cfRule type="cellIs" dxfId="2787" priority="1921" stopIfTrue="1" operator="equal">
      <formula>$A$42</formula>
    </cfRule>
  </conditionalFormatting>
  <conditionalFormatting sqref="BN21:BO21">
    <cfRule type="cellIs" dxfId="2786" priority="1920" stopIfTrue="1" operator="equal">
      <formula>$A$43</formula>
    </cfRule>
  </conditionalFormatting>
  <conditionalFormatting sqref="BN28">
    <cfRule type="cellIs" dxfId="2785" priority="1919" stopIfTrue="1" operator="equal">
      <formula>$A$43</formula>
    </cfRule>
  </conditionalFormatting>
  <conditionalFormatting sqref="BT28">
    <cfRule type="cellIs" dxfId="2784" priority="1918" stopIfTrue="1" operator="equal">
      <formula>$A$43</formula>
    </cfRule>
  </conditionalFormatting>
  <conditionalFormatting sqref="DB26:DE27">
    <cfRule type="cellIs" dxfId="2783" priority="1916" stopIfTrue="1" operator="equal">
      <formula>$A$43</formula>
    </cfRule>
  </conditionalFormatting>
  <conditionalFormatting sqref="DB17:DE17">
    <cfRule type="cellIs" dxfId="2782" priority="1915" stopIfTrue="1" operator="equal">
      <formula>$A$42</formula>
    </cfRule>
  </conditionalFormatting>
  <conditionalFormatting sqref="DB26:DE27">
    <cfRule type="cellIs" dxfId="2781" priority="1912" stopIfTrue="1" operator="equal">
      <formula>$A$43</formula>
    </cfRule>
  </conditionalFormatting>
  <conditionalFormatting sqref="DB17:DE17">
    <cfRule type="cellIs" dxfId="2780" priority="1911" stopIfTrue="1" operator="equal">
      <formula>$A$42</formula>
    </cfRule>
  </conditionalFormatting>
  <conditionalFormatting sqref="DB16">
    <cfRule type="cellIs" dxfId="2779" priority="1909" stopIfTrue="1" operator="equal">
      <formula>$A$42</formula>
    </cfRule>
  </conditionalFormatting>
  <conditionalFormatting sqref="DE18">
    <cfRule type="cellIs" dxfId="2778" priority="1908" stopIfTrue="1" operator="equal">
      <formula>$A$42</formula>
    </cfRule>
  </conditionalFormatting>
  <conditionalFormatting sqref="DE21">
    <cfRule type="cellIs" dxfId="2777" priority="1907" stopIfTrue="1" operator="equal">
      <formula>$A$42</formula>
    </cfRule>
  </conditionalFormatting>
  <conditionalFormatting sqref="DB13">
    <cfRule type="cellIs" dxfId="2776" priority="1904" stopIfTrue="1" operator="equal">
      <formula>$A$43</formula>
    </cfRule>
  </conditionalFormatting>
  <conditionalFormatting sqref="DB13">
    <cfRule type="cellIs" dxfId="2775" priority="1903" stopIfTrue="1" operator="equal">
      <formula>$A$43</formula>
    </cfRule>
  </conditionalFormatting>
  <conditionalFormatting sqref="DB13">
    <cfRule type="cellIs" dxfId="2774" priority="1902" stopIfTrue="1" operator="equal">
      <formula>$A$43</formula>
    </cfRule>
  </conditionalFormatting>
  <conditionalFormatting sqref="DB13">
    <cfRule type="cellIs" dxfId="2773" priority="1901" stopIfTrue="1" operator="equal">
      <formula>$A$43</formula>
    </cfRule>
  </conditionalFormatting>
  <conditionalFormatting sqref="DB13">
    <cfRule type="cellIs" dxfId="2772" priority="1900" stopIfTrue="1" operator="equal">
      <formula>$A$43</formula>
    </cfRule>
  </conditionalFormatting>
  <conditionalFormatting sqref="DB13">
    <cfRule type="cellIs" dxfId="2771" priority="1899" stopIfTrue="1" operator="equal">
      <formula>$A$43</formula>
    </cfRule>
  </conditionalFormatting>
  <conditionalFormatting sqref="DF25">
    <cfRule type="cellIs" dxfId="2770" priority="1898" stopIfTrue="1" operator="equal">
      <formula>$A$43</formula>
    </cfRule>
  </conditionalFormatting>
  <conditionalFormatting sqref="DF24">
    <cfRule type="cellIs" dxfId="2769" priority="1897" stopIfTrue="1" operator="equal">
      <formula>$A$43</formula>
    </cfRule>
  </conditionalFormatting>
  <conditionalFormatting sqref="DF17">
    <cfRule type="cellIs" dxfId="2768" priority="1896" stopIfTrue="1" operator="equal">
      <formula>$A$42</formula>
    </cfRule>
  </conditionalFormatting>
  <conditionalFormatting sqref="DF26:DF27">
    <cfRule type="cellIs" dxfId="2767" priority="1894" stopIfTrue="1" operator="equal">
      <formula>$A$43</formula>
    </cfRule>
  </conditionalFormatting>
  <conditionalFormatting sqref="DF17">
    <cfRule type="cellIs" dxfId="2766" priority="1893" stopIfTrue="1" operator="equal">
      <formula>$A$42</formula>
    </cfRule>
  </conditionalFormatting>
  <conditionalFormatting sqref="DF26:DF27">
    <cfRule type="cellIs" dxfId="2765" priority="1891" stopIfTrue="1" operator="equal">
      <formula>$A$43</formula>
    </cfRule>
  </conditionalFormatting>
  <conditionalFormatting sqref="DF17">
    <cfRule type="cellIs" dxfId="2764" priority="1890" stopIfTrue="1" operator="equal">
      <formula>$A$42</formula>
    </cfRule>
  </conditionalFormatting>
  <conditionalFormatting sqref="DF18">
    <cfRule type="cellIs" dxfId="2763" priority="1889" stopIfTrue="1" operator="equal">
      <formula>$A$42</formula>
    </cfRule>
  </conditionalFormatting>
  <conditionalFormatting sqref="DF21">
    <cfRule type="cellIs" dxfId="2762" priority="1888" stopIfTrue="1" operator="equal">
      <formula>$A$42</formula>
    </cfRule>
  </conditionalFormatting>
  <conditionalFormatting sqref="DF14:DF15">
    <cfRule type="cellIs" dxfId="2761" priority="1884" stopIfTrue="1" operator="equal">
      <formula>$A$43</formula>
    </cfRule>
  </conditionalFormatting>
  <conditionalFormatting sqref="DF17">
    <cfRule type="cellIs" dxfId="2760" priority="1883" stopIfTrue="1" operator="equal">
      <formula>$A$42</formula>
    </cfRule>
  </conditionalFormatting>
  <conditionalFormatting sqref="DF14:DF15">
    <cfRule type="cellIs" dxfId="2759" priority="1881" stopIfTrue="1" operator="equal">
      <formula>$A$43</formula>
    </cfRule>
  </conditionalFormatting>
  <conditionalFormatting sqref="DF17">
    <cfRule type="cellIs" dxfId="2758" priority="1880" stopIfTrue="1" operator="equal">
      <formula>$A$42</formula>
    </cfRule>
  </conditionalFormatting>
  <conditionalFormatting sqref="DF18">
    <cfRule type="cellIs" dxfId="2757" priority="1879" stopIfTrue="1" operator="equal">
      <formula>$A$42</formula>
    </cfRule>
  </conditionalFormatting>
  <conditionalFormatting sqref="DF21">
    <cfRule type="cellIs" dxfId="2756" priority="1878" stopIfTrue="1" operator="equal">
      <formula>$A$42</formula>
    </cfRule>
  </conditionalFormatting>
  <conditionalFormatting sqref="DB26:DE27">
    <cfRule type="cellIs" dxfId="2755" priority="1876" stopIfTrue="1" operator="equal">
      <formula>$A$43</formula>
    </cfRule>
  </conditionalFormatting>
  <conditionalFormatting sqref="DB17:DE17">
    <cfRule type="cellIs" dxfId="2754" priority="1875" stopIfTrue="1" operator="equal">
      <formula>$A$42</formula>
    </cfRule>
  </conditionalFormatting>
  <conditionalFormatting sqref="DB26:DE27">
    <cfRule type="cellIs" dxfId="2753" priority="1872" stopIfTrue="1" operator="equal">
      <formula>$A$43</formula>
    </cfRule>
  </conditionalFormatting>
  <conditionalFormatting sqref="DB17:DE17">
    <cfRule type="cellIs" dxfId="2752" priority="1871" stopIfTrue="1" operator="equal">
      <formula>$A$42</formula>
    </cfRule>
  </conditionalFormatting>
  <conditionalFormatting sqref="DB16">
    <cfRule type="cellIs" dxfId="2751" priority="1869" stopIfTrue="1" operator="equal">
      <formula>$A$42</formula>
    </cfRule>
  </conditionalFormatting>
  <conditionalFormatting sqref="DE18">
    <cfRule type="cellIs" dxfId="2750" priority="1868" stopIfTrue="1" operator="equal">
      <formula>$A$42</formula>
    </cfRule>
  </conditionalFormatting>
  <conditionalFormatting sqref="DE21">
    <cfRule type="cellIs" dxfId="2749" priority="1867" stopIfTrue="1" operator="equal">
      <formula>$A$42</formula>
    </cfRule>
  </conditionalFormatting>
  <conditionalFormatting sqref="DB13">
    <cfRule type="cellIs" dxfId="2748" priority="1864" stopIfTrue="1" operator="equal">
      <formula>$A$43</formula>
    </cfRule>
  </conditionalFormatting>
  <conditionalFormatting sqref="DB13">
    <cfRule type="cellIs" dxfId="2747" priority="1863" stopIfTrue="1" operator="equal">
      <formula>$A$43</formula>
    </cfRule>
  </conditionalFormatting>
  <conditionalFormatting sqref="DB13">
    <cfRule type="cellIs" dxfId="2746" priority="1862" stopIfTrue="1" operator="equal">
      <formula>$A$43</formula>
    </cfRule>
  </conditionalFormatting>
  <conditionalFormatting sqref="DB13">
    <cfRule type="cellIs" dxfId="2745" priority="1861" stopIfTrue="1" operator="equal">
      <formula>$A$43</formula>
    </cfRule>
  </conditionalFormatting>
  <conditionalFormatting sqref="DB13">
    <cfRule type="cellIs" dxfId="2744" priority="1860" stopIfTrue="1" operator="equal">
      <formula>$A$43</formula>
    </cfRule>
  </conditionalFormatting>
  <conditionalFormatting sqref="DB13">
    <cfRule type="cellIs" dxfId="2743" priority="1859" stopIfTrue="1" operator="equal">
      <formula>$A$43</formula>
    </cfRule>
  </conditionalFormatting>
  <conditionalFormatting sqref="DF25">
    <cfRule type="cellIs" dxfId="2742" priority="1858" stopIfTrue="1" operator="equal">
      <formula>$A$43</formula>
    </cfRule>
  </conditionalFormatting>
  <conditionalFormatting sqref="DF24">
    <cfRule type="cellIs" dxfId="2741" priority="1857" stopIfTrue="1" operator="equal">
      <formula>$A$43</formula>
    </cfRule>
  </conditionalFormatting>
  <conditionalFormatting sqref="DF17">
    <cfRule type="cellIs" dxfId="2740" priority="1856" stopIfTrue="1" operator="equal">
      <formula>$A$42</formula>
    </cfRule>
  </conditionalFormatting>
  <conditionalFormatting sqref="DF26:DF27">
    <cfRule type="cellIs" dxfId="2739" priority="1854" stopIfTrue="1" operator="equal">
      <formula>$A$43</formula>
    </cfRule>
  </conditionalFormatting>
  <conditionalFormatting sqref="DF17">
    <cfRule type="cellIs" dxfId="2738" priority="1853" stopIfTrue="1" operator="equal">
      <formula>$A$42</formula>
    </cfRule>
  </conditionalFormatting>
  <conditionalFormatting sqref="DF26:DF27">
    <cfRule type="cellIs" dxfId="2737" priority="1851" stopIfTrue="1" operator="equal">
      <formula>$A$43</formula>
    </cfRule>
  </conditionalFormatting>
  <conditionalFormatting sqref="DF17">
    <cfRule type="cellIs" dxfId="2736" priority="1850" stopIfTrue="1" operator="equal">
      <formula>$A$42</formula>
    </cfRule>
  </conditionalFormatting>
  <conditionalFormatting sqref="DF18">
    <cfRule type="cellIs" dxfId="2735" priority="1849" stopIfTrue="1" operator="equal">
      <formula>$A$42</formula>
    </cfRule>
  </conditionalFormatting>
  <conditionalFormatting sqref="DF21">
    <cfRule type="cellIs" dxfId="2734" priority="1848" stopIfTrue="1" operator="equal">
      <formula>$A$42</formula>
    </cfRule>
  </conditionalFormatting>
  <conditionalFormatting sqref="DF14:DF15">
    <cfRule type="cellIs" dxfId="2733" priority="1844" stopIfTrue="1" operator="equal">
      <formula>$A$43</formula>
    </cfRule>
  </conditionalFormatting>
  <conditionalFormatting sqref="DF17">
    <cfRule type="cellIs" dxfId="2732" priority="1843" stopIfTrue="1" operator="equal">
      <formula>$A$42</formula>
    </cfRule>
  </conditionalFormatting>
  <conditionalFormatting sqref="DF14:DF15">
    <cfRule type="cellIs" dxfId="2731" priority="1841" stopIfTrue="1" operator="equal">
      <formula>$A$43</formula>
    </cfRule>
  </conditionalFormatting>
  <conditionalFormatting sqref="DF17">
    <cfRule type="cellIs" dxfId="2730" priority="1840" stopIfTrue="1" operator="equal">
      <formula>$A$42</formula>
    </cfRule>
  </conditionalFormatting>
  <conditionalFormatting sqref="DF18">
    <cfRule type="cellIs" dxfId="2729" priority="1839" stopIfTrue="1" operator="equal">
      <formula>$A$42</formula>
    </cfRule>
  </conditionalFormatting>
  <conditionalFormatting sqref="DF21">
    <cfRule type="cellIs" dxfId="2728" priority="1838" stopIfTrue="1" operator="equal">
      <formula>$A$42</formula>
    </cfRule>
  </conditionalFormatting>
  <conditionalFormatting sqref="DB26:DE27">
    <cfRule type="cellIs" dxfId="2727" priority="1836" stopIfTrue="1" operator="equal">
      <formula>$A$43</formula>
    </cfRule>
  </conditionalFormatting>
  <conditionalFormatting sqref="DB17:DE17">
    <cfRule type="cellIs" dxfId="2726" priority="1835" stopIfTrue="1" operator="equal">
      <formula>$A$42</formula>
    </cfRule>
  </conditionalFormatting>
  <conditionalFormatting sqref="DB26:DE27">
    <cfRule type="cellIs" dxfId="2725" priority="1832" stopIfTrue="1" operator="equal">
      <formula>$A$43</formula>
    </cfRule>
  </conditionalFormatting>
  <conditionalFormatting sqref="DB17:DE17">
    <cfRule type="cellIs" dxfId="2724" priority="1831" stopIfTrue="1" operator="equal">
      <formula>$A$42</formula>
    </cfRule>
  </conditionalFormatting>
  <conditionalFormatting sqref="DB16">
    <cfRule type="cellIs" dxfId="2723" priority="1829" stopIfTrue="1" operator="equal">
      <formula>$A$42</formula>
    </cfRule>
  </conditionalFormatting>
  <conditionalFormatting sqref="DE18">
    <cfRule type="cellIs" dxfId="2722" priority="1828" stopIfTrue="1" operator="equal">
      <formula>$A$42</formula>
    </cfRule>
  </conditionalFormatting>
  <conditionalFormatting sqref="DE21">
    <cfRule type="cellIs" dxfId="2721" priority="1827" stopIfTrue="1" operator="equal">
      <formula>$A$42</formula>
    </cfRule>
  </conditionalFormatting>
  <conditionalFormatting sqref="DB13">
    <cfRule type="cellIs" dxfId="2720" priority="1824" stopIfTrue="1" operator="equal">
      <formula>$A$43</formula>
    </cfRule>
  </conditionalFormatting>
  <conditionalFormatting sqref="DB13">
    <cfRule type="cellIs" dxfId="2719" priority="1823" stopIfTrue="1" operator="equal">
      <formula>$A$43</formula>
    </cfRule>
  </conditionalFormatting>
  <conditionalFormatting sqref="DB13">
    <cfRule type="cellIs" dxfId="2718" priority="1822" stopIfTrue="1" operator="equal">
      <formula>$A$43</formula>
    </cfRule>
  </conditionalFormatting>
  <conditionalFormatting sqref="DB13">
    <cfRule type="cellIs" dxfId="2717" priority="1821" stopIfTrue="1" operator="equal">
      <formula>$A$43</formula>
    </cfRule>
  </conditionalFormatting>
  <conditionalFormatting sqref="DB13">
    <cfRule type="cellIs" dxfId="2716" priority="1820" stopIfTrue="1" operator="equal">
      <formula>$A$43</formula>
    </cfRule>
  </conditionalFormatting>
  <conditionalFormatting sqref="DB13">
    <cfRule type="cellIs" dxfId="2715" priority="1819" stopIfTrue="1" operator="equal">
      <formula>$A$43</formula>
    </cfRule>
  </conditionalFormatting>
  <conditionalFormatting sqref="DF25">
    <cfRule type="cellIs" dxfId="2714" priority="1818" stopIfTrue="1" operator="equal">
      <formula>$A$43</formula>
    </cfRule>
  </conditionalFormatting>
  <conditionalFormatting sqref="DF24">
    <cfRule type="cellIs" dxfId="2713" priority="1817" stopIfTrue="1" operator="equal">
      <formula>$A$43</formula>
    </cfRule>
  </conditionalFormatting>
  <conditionalFormatting sqref="DF17">
    <cfRule type="cellIs" dxfId="2712" priority="1816" stopIfTrue="1" operator="equal">
      <formula>$A$42</formula>
    </cfRule>
  </conditionalFormatting>
  <conditionalFormatting sqref="DF26:DF27">
    <cfRule type="cellIs" dxfId="2711" priority="1814" stopIfTrue="1" operator="equal">
      <formula>$A$43</formula>
    </cfRule>
  </conditionalFormatting>
  <conditionalFormatting sqref="DF17">
    <cfRule type="cellIs" dxfId="2710" priority="1813" stopIfTrue="1" operator="equal">
      <formula>$A$42</formula>
    </cfRule>
  </conditionalFormatting>
  <conditionalFormatting sqref="DF26:DF27">
    <cfRule type="cellIs" dxfId="2709" priority="1811" stopIfTrue="1" operator="equal">
      <formula>$A$43</formula>
    </cfRule>
  </conditionalFormatting>
  <conditionalFormatting sqref="DF17">
    <cfRule type="cellIs" dxfId="2708" priority="1810" stopIfTrue="1" operator="equal">
      <formula>$A$42</formula>
    </cfRule>
  </conditionalFormatting>
  <conditionalFormatting sqref="DF18">
    <cfRule type="cellIs" dxfId="2707" priority="1809" stopIfTrue="1" operator="equal">
      <formula>$A$42</formula>
    </cfRule>
  </conditionalFormatting>
  <conditionalFormatting sqref="DF21">
    <cfRule type="cellIs" dxfId="2706" priority="1808" stopIfTrue="1" operator="equal">
      <formula>$A$42</formula>
    </cfRule>
  </conditionalFormatting>
  <conditionalFormatting sqref="DF14:DF15">
    <cfRule type="cellIs" dxfId="2705" priority="1804" stopIfTrue="1" operator="equal">
      <formula>$A$43</formula>
    </cfRule>
  </conditionalFormatting>
  <conditionalFormatting sqref="DF17">
    <cfRule type="cellIs" dxfId="2704" priority="1803" stopIfTrue="1" operator="equal">
      <formula>$A$42</formula>
    </cfRule>
  </conditionalFormatting>
  <conditionalFormatting sqref="DF14:DF15">
    <cfRule type="cellIs" dxfId="2703" priority="1801" stopIfTrue="1" operator="equal">
      <formula>$A$43</formula>
    </cfRule>
  </conditionalFormatting>
  <conditionalFormatting sqref="DF17">
    <cfRule type="cellIs" dxfId="2702" priority="1800" stopIfTrue="1" operator="equal">
      <formula>$A$42</formula>
    </cfRule>
  </conditionalFormatting>
  <conditionalFormatting sqref="DF18">
    <cfRule type="cellIs" dxfId="2701" priority="1799" stopIfTrue="1" operator="equal">
      <formula>$A$42</formula>
    </cfRule>
  </conditionalFormatting>
  <conditionalFormatting sqref="DF21">
    <cfRule type="cellIs" dxfId="2700" priority="1798" stopIfTrue="1" operator="equal">
      <formula>$A$42</formula>
    </cfRule>
  </conditionalFormatting>
  <conditionalFormatting sqref="BY26:BZ27">
    <cfRule type="cellIs" dxfId="2699" priority="1796" stopIfTrue="1" operator="equal">
      <formula>$A$43</formula>
    </cfRule>
  </conditionalFormatting>
  <conditionalFormatting sqref="DB26:DD27">
    <cfRule type="cellIs" dxfId="2698" priority="1793" stopIfTrue="1" operator="equal">
      <formula>$A$43</formula>
    </cfRule>
  </conditionalFormatting>
  <conditionalFormatting sqref="DB17:DD17">
    <cfRule type="cellIs" dxfId="2697" priority="1792" stopIfTrue="1" operator="equal">
      <formula>$A$42</formula>
    </cfRule>
  </conditionalFormatting>
  <conditionalFormatting sqref="DB26:DD27">
    <cfRule type="cellIs" dxfId="2696" priority="1789" stopIfTrue="1" operator="equal">
      <formula>$A$43</formula>
    </cfRule>
  </conditionalFormatting>
  <conditionalFormatting sqref="DB17:DD17">
    <cfRule type="cellIs" dxfId="2695" priority="1788" stopIfTrue="1" operator="equal">
      <formula>$A$42</formula>
    </cfRule>
  </conditionalFormatting>
  <conditionalFormatting sqref="DB16">
    <cfRule type="cellIs" dxfId="2694" priority="1786" stopIfTrue="1" operator="equal">
      <formula>$A$42</formula>
    </cfRule>
  </conditionalFormatting>
  <conditionalFormatting sqref="DB13">
    <cfRule type="cellIs" dxfId="2693" priority="1785" stopIfTrue="1" operator="equal">
      <formula>$A$43</formula>
    </cfRule>
  </conditionalFormatting>
  <conditionalFormatting sqref="DB13">
    <cfRule type="cellIs" dxfId="2692" priority="1784" stopIfTrue="1" operator="equal">
      <formula>$A$43</formula>
    </cfRule>
  </conditionalFormatting>
  <conditionalFormatting sqref="DB13">
    <cfRule type="cellIs" dxfId="2691" priority="1783" stopIfTrue="1" operator="equal">
      <formula>$A$43</formula>
    </cfRule>
  </conditionalFormatting>
  <conditionalFormatting sqref="DB13">
    <cfRule type="cellIs" dxfId="2690" priority="1782" stopIfTrue="1" operator="equal">
      <formula>$A$43</formula>
    </cfRule>
  </conditionalFormatting>
  <conditionalFormatting sqref="DB13">
    <cfRule type="cellIs" dxfId="2689" priority="1781" stopIfTrue="1" operator="equal">
      <formula>$A$43</formula>
    </cfRule>
  </conditionalFormatting>
  <conditionalFormatting sqref="DB13">
    <cfRule type="cellIs" dxfId="2688" priority="1780" stopIfTrue="1" operator="equal">
      <formula>$A$43</formula>
    </cfRule>
  </conditionalFormatting>
  <conditionalFormatting sqref="AS17">
    <cfRule type="cellIs" dxfId="2687" priority="1779" stopIfTrue="1" operator="equal">
      <formula>$A$42</formula>
    </cfRule>
  </conditionalFormatting>
  <conditionalFormatting sqref="AS26:AS27">
    <cfRule type="cellIs" dxfId="2686" priority="1777" stopIfTrue="1" operator="equal">
      <formula>$A$43</formula>
    </cfRule>
  </conditionalFormatting>
  <conditionalFormatting sqref="AS17">
    <cfRule type="cellIs" dxfId="2685" priority="1776" stopIfTrue="1" operator="equal">
      <formula>$A$42</formula>
    </cfRule>
  </conditionalFormatting>
  <conditionalFormatting sqref="AS26:AS27">
    <cfRule type="cellIs" dxfId="2684" priority="1774" stopIfTrue="1" operator="equal">
      <formula>$A$43</formula>
    </cfRule>
  </conditionalFormatting>
  <conditionalFormatting sqref="AS17">
    <cfRule type="cellIs" dxfId="2683" priority="1773" stopIfTrue="1" operator="equal">
      <formula>$A$42</formula>
    </cfRule>
  </conditionalFormatting>
  <conditionalFormatting sqref="AS16">
    <cfRule type="cellIs" dxfId="2682" priority="1772" stopIfTrue="1" operator="equal">
      <formula>$A$42</formula>
    </cfRule>
  </conditionalFormatting>
  <conditionalFormatting sqref="AS16:AS22">
    <cfRule type="cellIs" dxfId="2681" priority="1771" stopIfTrue="1" operator="equal">
      <formula>$A$43</formula>
    </cfRule>
  </conditionalFormatting>
  <conditionalFormatting sqref="AS14:AS15">
    <cfRule type="cellIs" dxfId="2680" priority="1770" stopIfTrue="1" operator="equal">
      <formula>$A$43</formula>
    </cfRule>
  </conditionalFormatting>
  <conditionalFormatting sqref="AS17">
    <cfRule type="cellIs" dxfId="2679" priority="1769" stopIfTrue="1" operator="equal">
      <formula>$A$42</formula>
    </cfRule>
  </conditionalFormatting>
  <conditionalFormatting sqref="AS16:AS22">
    <cfRule type="cellIs" dxfId="2678" priority="1768" stopIfTrue="1" operator="equal">
      <formula>$A$43</formula>
    </cfRule>
  </conditionalFormatting>
  <conditionalFormatting sqref="AS14:AS15">
    <cfRule type="cellIs" dxfId="2677" priority="1767" stopIfTrue="1" operator="equal">
      <formula>$A$43</formula>
    </cfRule>
  </conditionalFormatting>
  <conditionalFormatting sqref="AS17">
    <cfRule type="cellIs" dxfId="2676" priority="1766" stopIfTrue="1" operator="equal">
      <formula>$A$42</formula>
    </cfRule>
  </conditionalFormatting>
  <conditionalFormatting sqref="AS16">
    <cfRule type="cellIs" dxfId="2675" priority="1765" stopIfTrue="1" operator="equal">
      <formula>$A$42</formula>
    </cfRule>
  </conditionalFormatting>
  <conditionalFormatting sqref="AS13">
    <cfRule type="cellIs" dxfId="2674" priority="1764" stopIfTrue="1" operator="equal">
      <formula>$A$43</formula>
    </cfRule>
  </conditionalFormatting>
  <conditionalFormatting sqref="AS13">
    <cfRule type="cellIs" dxfId="2673" priority="1763" stopIfTrue="1" operator="equal">
      <formula>$A$43</formula>
    </cfRule>
  </conditionalFormatting>
  <conditionalFormatting sqref="AS13">
    <cfRule type="cellIs" dxfId="2672" priority="1762" stopIfTrue="1" operator="equal">
      <formula>$A$43</formula>
    </cfRule>
  </conditionalFormatting>
  <conditionalFormatting sqref="AS13">
    <cfRule type="cellIs" dxfId="2671" priority="1761" stopIfTrue="1" operator="equal">
      <formula>$A$43</formula>
    </cfRule>
  </conditionalFormatting>
  <conditionalFormatting sqref="AS13">
    <cfRule type="cellIs" dxfId="2670" priority="1760" stopIfTrue="1" operator="equal">
      <formula>$A$43</formula>
    </cfRule>
  </conditionalFormatting>
  <conditionalFormatting sqref="AS13">
    <cfRule type="cellIs" dxfId="2669" priority="1759" stopIfTrue="1" operator="equal">
      <formula>$A$43</formula>
    </cfRule>
  </conditionalFormatting>
  <conditionalFormatting sqref="AS26:AS27">
    <cfRule type="cellIs" dxfId="2668" priority="1757" stopIfTrue="1" operator="equal">
      <formula>$A$43</formula>
    </cfRule>
  </conditionalFormatting>
  <conditionalFormatting sqref="AS17">
    <cfRule type="cellIs" dxfId="2667" priority="1756" stopIfTrue="1" operator="equal">
      <formula>$A$42</formula>
    </cfRule>
  </conditionalFormatting>
  <conditionalFormatting sqref="AS26:AS27">
    <cfRule type="cellIs" dxfId="2666" priority="1754" stopIfTrue="1" operator="equal">
      <formula>$A$43</formula>
    </cfRule>
  </conditionalFormatting>
  <conditionalFormatting sqref="AS17">
    <cfRule type="cellIs" dxfId="2665" priority="1753" stopIfTrue="1" operator="equal">
      <formula>$A$42</formula>
    </cfRule>
  </conditionalFormatting>
  <conditionalFormatting sqref="AS16">
    <cfRule type="cellIs" dxfId="2664" priority="1752" stopIfTrue="1" operator="equal">
      <formula>$A$42</formula>
    </cfRule>
  </conditionalFormatting>
  <conditionalFormatting sqref="AS13">
    <cfRule type="cellIs" dxfId="2663" priority="1751" stopIfTrue="1" operator="equal">
      <formula>$A$43</formula>
    </cfRule>
  </conditionalFormatting>
  <conditionalFormatting sqref="AS13">
    <cfRule type="cellIs" dxfId="2662" priority="1750" stopIfTrue="1" operator="equal">
      <formula>$A$43</formula>
    </cfRule>
  </conditionalFormatting>
  <conditionalFormatting sqref="AS13">
    <cfRule type="cellIs" dxfId="2661" priority="1749" stopIfTrue="1" operator="equal">
      <formula>$A$43</formula>
    </cfRule>
  </conditionalFormatting>
  <conditionalFormatting sqref="AS13">
    <cfRule type="cellIs" dxfId="2660" priority="1748" stopIfTrue="1" operator="equal">
      <formula>$A$43</formula>
    </cfRule>
  </conditionalFormatting>
  <conditionalFormatting sqref="AS13">
    <cfRule type="cellIs" dxfId="2659" priority="1747" stopIfTrue="1" operator="equal">
      <formula>$A$43</formula>
    </cfRule>
  </conditionalFormatting>
  <conditionalFormatting sqref="AS13">
    <cfRule type="cellIs" dxfId="2658" priority="1746" stopIfTrue="1" operator="equal">
      <formula>$A$43</formula>
    </cfRule>
  </conditionalFormatting>
  <conditionalFormatting sqref="AS26:AS27">
    <cfRule type="cellIs" dxfId="2657" priority="1744" stopIfTrue="1" operator="equal">
      <formula>$A$43</formula>
    </cfRule>
  </conditionalFormatting>
  <conditionalFormatting sqref="AS17">
    <cfRule type="cellIs" dxfId="2656" priority="1743" stopIfTrue="1" operator="equal">
      <formula>$A$42</formula>
    </cfRule>
  </conditionalFormatting>
  <conditionalFormatting sqref="AS26:AS27">
    <cfRule type="cellIs" dxfId="2655" priority="1741" stopIfTrue="1" operator="equal">
      <formula>$A$43</formula>
    </cfRule>
  </conditionalFormatting>
  <conditionalFormatting sqref="AS17">
    <cfRule type="cellIs" dxfId="2654" priority="1740" stopIfTrue="1" operator="equal">
      <formula>$A$42</formula>
    </cfRule>
  </conditionalFormatting>
  <conditionalFormatting sqref="AS16">
    <cfRule type="cellIs" dxfId="2653" priority="1739" stopIfTrue="1" operator="equal">
      <formula>$A$42</formula>
    </cfRule>
  </conditionalFormatting>
  <conditionalFormatting sqref="AS13">
    <cfRule type="cellIs" dxfId="2652" priority="1738" stopIfTrue="1" operator="equal">
      <formula>$A$43</formula>
    </cfRule>
  </conditionalFormatting>
  <conditionalFormatting sqref="AS13">
    <cfRule type="cellIs" dxfId="2651" priority="1737" stopIfTrue="1" operator="equal">
      <formula>$A$43</formula>
    </cfRule>
  </conditionalFormatting>
  <conditionalFormatting sqref="AS13">
    <cfRule type="cellIs" dxfId="2650" priority="1736" stopIfTrue="1" operator="equal">
      <formula>$A$43</formula>
    </cfRule>
  </conditionalFormatting>
  <conditionalFormatting sqref="AS13">
    <cfRule type="cellIs" dxfId="2649" priority="1735" stopIfTrue="1" operator="equal">
      <formula>$A$43</formula>
    </cfRule>
  </conditionalFormatting>
  <conditionalFormatting sqref="AS13">
    <cfRule type="cellIs" dxfId="2648" priority="1734" stopIfTrue="1" operator="equal">
      <formula>$A$43</formula>
    </cfRule>
  </conditionalFormatting>
  <conditionalFormatting sqref="AS13">
    <cfRule type="cellIs" dxfId="2647" priority="1733" stopIfTrue="1" operator="equal">
      <formula>$A$43</formula>
    </cfRule>
  </conditionalFormatting>
  <conditionalFormatting sqref="AS26:AS27">
    <cfRule type="cellIs" dxfId="2646" priority="1731" stopIfTrue="1" operator="equal">
      <formula>$A$43</formula>
    </cfRule>
  </conditionalFormatting>
  <conditionalFormatting sqref="AS17">
    <cfRule type="cellIs" dxfId="2645" priority="1730" stopIfTrue="1" operator="equal">
      <formula>$A$42</formula>
    </cfRule>
  </conditionalFormatting>
  <conditionalFormatting sqref="AS26:AS27">
    <cfRule type="cellIs" dxfId="2644" priority="1728" stopIfTrue="1" operator="equal">
      <formula>$A$43</formula>
    </cfRule>
  </conditionalFormatting>
  <conditionalFormatting sqref="AS17">
    <cfRule type="cellIs" dxfId="2643" priority="1727" stopIfTrue="1" operator="equal">
      <formula>$A$42</formula>
    </cfRule>
  </conditionalFormatting>
  <conditionalFormatting sqref="AS16">
    <cfRule type="cellIs" dxfId="2642" priority="1726" stopIfTrue="1" operator="equal">
      <formula>$A$42</formula>
    </cfRule>
  </conditionalFormatting>
  <conditionalFormatting sqref="AS13">
    <cfRule type="cellIs" dxfId="2641" priority="1725" stopIfTrue="1" operator="equal">
      <formula>$A$43</formula>
    </cfRule>
  </conditionalFormatting>
  <conditionalFormatting sqref="AS13">
    <cfRule type="cellIs" dxfId="2640" priority="1724" stopIfTrue="1" operator="equal">
      <formula>$A$43</formula>
    </cfRule>
  </conditionalFormatting>
  <conditionalFormatting sqref="AS13">
    <cfRule type="cellIs" dxfId="2639" priority="1723" stopIfTrue="1" operator="equal">
      <formula>$A$43</formula>
    </cfRule>
  </conditionalFormatting>
  <conditionalFormatting sqref="AS13">
    <cfRule type="cellIs" dxfId="2638" priority="1722" stopIfTrue="1" operator="equal">
      <formula>$A$43</formula>
    </cfRule>
  </conditionalFormatting>
  <conditionalFormatting sqref="AS13">
    <cfRule type="cellIs" dxfId="2637" priority="1721" stopIfTrue="1" operator="equal">
      <formula>$A$43</formula>
    </cfRule>
  </conditionalFormatting>
  <conditionalFormatting sqref="AS13">
    <cfRule type="cellIs" dxfId="2636" priority="1720" stopIfTrue="1" operator="equal">
      <formula>$A$43</formula>
    </cfRule>
  </conditionalFormatting>
  <conditionalFormatting sqref="AS26:AS27">
    <cfRule type="cellIs" dxfId="2635" priority="1718" stopIfTrue="1" operator="equal">
      <formula>$A$43</formula>
    </cfRule>
  </conditionalFormatting>
  <conditionalFormatting sqref="AS17">
    <cfRule type="cellIs" dxfId="2634" priority="1717" stopIfTrue="1" operator="equal">
      <formula>$A$42</formula>
    </cfRule>
  </conditionalFormatting>
  <conditionalFormatting sqref="AS26:AS27">
    <cfRule type="cellIs" dxfId="2633" priority="1715" stopIfTrue="1" operator="equal">
      <formula>$A$43</formula>
    </cfRule>
  </conditionalFormatting>
  <conditionalFormatting sqref="AS17">
    <cfRule type="cellIs" dxfId="2632" priority="1714" stopIfTrue="1" operator="equal">
      <formula>$A$42</formula>
    </cfRule>
  </conditionalFormatting>
  <conditionalFormatting sqref="AS16">
    <cfRule type="cellIs" dxfId="2631" priority="1713" stopIfTrue="1" operator="equal">
      <formula>$A$42</formula>
    </cfRule>
  </conditionalFormatting>
  <conditionalFormatting sqref="AS13">
    <cfRule type="cellIs" dxfId="2630" priority="1712" stopIfTrue="1" operator="equal">
      <formula>$A$43</formula>
    </cfRule>
  </conditionalFormatting>
  <conditionalFormatting sqref="AS13">
    <cfRule type="cellIs" dxfId="2629" priority="1711" stopIfTrue="1" operator="equal">
      <formula>$A$43</formula>
    </cfRule>
  </conditionalFormatting>
  <conditionalFormatting sqref="AS13">
    <cfRule type="cellIs" dxfId="2628" priority="1710" stopIfTrue="1" operator="equal">
      <formula>$A$43</formula>
    </cfRule>
  </conditionalFormatting>
  <conditionalFormatting sqref="AS13">
    <cfRule type="cellIs" dxfId="2627" priority="1709" stopIfTrue="1" operator="equal">
      <formula>$A$43</formula>
    </cfRule>
  </conditionalFormatting>
  <conditionalFormatting sqref="AS13">
    <cfRule type="cellIs" dxfId="2626" priority="1708" stopIfTrue="1" operator="equal">
      <formula>$A$43</formula>
    </cfRule>
  </conditionalFormatting>
  <conditionalFormatting sqref="AS13">
    <cfRule type="cellIs" dxfId="2625" priority="1707" stopIfTrue="1" operator="equal">
      <formula>$A$43</formula>
    </cfRule>
  </conditionalFormatting>
  <conditionalFormatting sqref="AS26:AS27">
    <cfRule type="cellIs" dxfId="2624" priority="1705" stopIfTrue="1" operator="equal">
      <formula>$A$43</formula>
    </cfRule>
  </conditionalFormatting>
  <conditionalFormatting sqref="AS17">
    <cfRule type="cellIs" dxfId="2623" priority="1704" stopIfTrue="1" operator="equal">
      <formula>$A$42</formula>
    </cfRule>
  </conditionalFormatting>
  <conditionalFormatting sqref="AS26:AS27">
    <cfRule type="cellIs" dxfId="2622" priority="1702" stopIfTrue="1" operator="equal">
      <formula>$A$43</formula>
    </cfRule>
  </conditionalFormatting>
  <conditionalFormatting sqref="AS17">
    <cfRule type="cellIs" dxfId="2621" priority="1701" stopIfTrue="1" operator="equal">
      <formula>$A$42</formula>
    </cfRule>
  </conditionalFormatting>
  <conditionalFormatting sqref="AS16">
    <cfRule type="cellIs" dxfId="2620" priority="1700" stopIfTrue="1" operator="equal">
      <formula>$A$42</formula>
    </cfRule>
  </conditionalFormatting>
  <conditionalFormatting sqref="AS13">
    <cfRule type="cellIs" dxfId="2619" priority="1699" stopIfTrue="1" operator="equal">
      <formula>$A$43</formula>
    </cfRule>
  </conditionalFormatting>
  <conditionalFormatting sqref="AS13">
    <cfRule type="cellIs" dxfId="2618" priority="1698" stopIfTrue="1" operator="equal">
      <formula>$A$43</formula>
    </cfRule>
  </conditionalFormatting>
  <conditionalFormatting sqref="AS13">
    <cfRule type="cellIs" dxfId="2617" priority="1697" stopIfTrue="1" operator="equal">
      <formula>$A$43</formula>
    </cfRule>
  </conditionalFormatting>
  <conditionalFormatting sqref="AS13">
    <cfRule type="cellIs" dxfId="2616" priority="1696" stopIfTrue="1" operator="equal">
      <formula>$A$43</formula>
    </cfRule>
  </conditionalFormatting>
  <conditionalFormatting sqref="AS13">
    <cfRule type="cellIs" dxfId="2615" priority="1695" stopIfTrue="1" operator="equal">
      <formula>$A$43</formula>
    </cfRule>
  </conditionalFormatting>
  <conditionalFormatting sqref="AS13">
    <cfRule type="cellIs" dxfId="2614" priority="1694" stopIfTrue="1" operator="equal">
      <formula>$A$43</formula>
    </cfRule>
  </conditionalFormatting>
  <conditionalFormatting sqref="AU17">
    <cfRule type="cellIs" dxfId="2613" priority="1693" stopIfTrue="1" operator="equal">
      <formula>$A$42</formula>
    </cfRule>
  </conditionalFormatting>
  <conditionalFormatting sqref="AU26:AU27">
    <cfRule type="cellIs" dxfId="2612" priority="1691" stopIfTrue="1" operator="equal">
      <formula>$A$43</formula>
    </cfRule>
  </conditionalFormatting>
  <conditionalFormatting sqref="AU17">
    <cfRule type="cellIs" dxfId="2611" priority="1690" stopIfTrue="1" operator="equal">
      <formula>$A$42</formula>
    </cfRule>
  </conditionalFormatting>
  <conditionalFormatting sqref="AU26:AU27">
    <cfRule type="cellIs" dxfId="2610" priority="1688" stopIfTrue="1" operator="equal">
      <formula>$A$43</formula>
    </cfRule>
  </conditionalFormatting>
  <conditionalFormatting sqref="AU17">
    <cfRule type="cellIs" dxfId="2609" priority="1687" stopIfTrue="1" operator="equal">
      <formula>$A$42</formula>
    </cfRule>
  </conditionalFormatting>
  <conditionalFormatting sqref="AU16">
    <cfRule type="cellIs" dxfId="2608" priority="1686" stopIfTrue="1" operator="equal">
      <formula>$A$42</formula>
    </cfRule>
  </conditionalFormatting>
  <conditionalFormatting sqref="AU14:AU15">
    <cfRule type="cellIs" dxfId="2607" priority="1684" stopIfTrue="1" operator="equal">
      <formula>$A$43</formula>
    </cfRule>
  </conditionalFormatting>
  <conditionalFormatting sqref="AU17">
    <cfRule type="cellIs" dxfId="2606" priority="1683" stopIfTrue="1" operator="equal">
      <formula>$A$42</formula>
    </cfRule>
  </conditionalFormatting>
  <conditionalFormatting sqref="AU14:AU15">
    <cfRule type="cellIs" dxfId="2605" priority="1681" stopIfTrue="1" operator="equal">
      <formula>$A$43</formula>
    </cfRule>
  </conditionalFormatting>
  <conditionalFormatting sqref="AU17">
    <cfRule type="cellIs" dxfId="2604" priority="1680" stopIfTrue="1" operator="equal">
      <formula>$A$42</formula>
    </cfRule>
  </conditionalFormatting>
  <conditionalFormatting sqref="AU16">
    <cfRule type="cellIs" dxfId="2603" priority="1679" stopIfTrue="1" operator="equal">
      <formula>$A$42</formula>
    </cfRule>
  </conditionalFormatting>
  <conditionalFormatting sqref="AU13">
    <cfRule type="cellIs" dxfId="2602" priority="1678" stopIfTrue="1" operator="equal">
      <formula>$A$43</formula>
    </cfRule>
  </conditionalFormatting>
  <conditionalFormatting sqref="AU13">
    <cfRule type="cellIs" dxfId="2601" priority="1677" stopIfTrue="1" operator="equal">
      <formula>$A$43</formula>
    </cfRule>
  </conditionalFormatting>
  <conditionalFormatting sqref="AU13">
    <cfRule type="cellIs" dxfId="2600" priority="1676" stopIfTrue="1" operator="equal">
      <formula>$A$43</formula>
    </cfRule>
  </conditionalFormatting>
  <conditionalFormatting sqref="AU13">
    <cfRule type="cellIs" dxfId="2599" priority="1675" stopIfTrue="1" operator="equal">
      <formula>$A$43</formula>
    </cfRule>
  </conditionalFormatting>
  <conditionalFormatting sqref="AU13">
    <cfRule type="cellIs" dxfId="2598" priority="1674" stopIfTrue="1" operator="equal">
      <formula>$A$43</formula>
    </cfRule>
  </conditionalFormatting>
  <conditionalFormatting sqref="AU13">
    <cfRule type="cellIs" dxfId="2597" priority="1673" stopIfTrue="1" operator="equal">
      <formula>$A$43</formula>
    </cfRule>
  </conditionalFormatting>
  <conditionalFormatting sqref="AU26:AU27">
    <cfRule type="cellIs" dxfId="2596" priority="1671" stopIfTrue="1" operator="equal">
      <formula>$A$43</formula>
    </cfRule>
  </conditionalFormatting>
  <conditionalFormatting sqref="AU17">
    <cfRule type="cellIs" dxfId="2595" priority="1670" stopIfTrue="1" operator="equal">
      <formula>$A$42</formula>
    </cfRule>
  </conditionalFormatting>
  <conditionalFormatting sqref="AU26:AU27">
    <cfRule type="cellIs" dxfId="2594" priority="1668" stopIfTrue="1" operator="equal">
      <formula>$A$43</formula>
    </cfRule>
  </conditionalFormatting>
  <conditionalFormatting sqref="AU17">
    <cfRule type="cellIs" dxfId="2593" priority="1667" stopIfTrue="1" operator="equal">
      <formula>$A$42</formula>
    </cfRule>
  </conditionalFormatting>
  <conditionalFormatting sqref="AU16">
    <cfRule type="cellIs" dxfId="2592" priority="1666" stopIfTrue="1" operator="equal">
      <formula>$A$42</formula>
    </cfRule>
  </conditionalFormatting>
  <conditionalFormatting sqref="AU13">
    <cfRule type="cellIs" dxfId="2591" priority="1665" stopIfTrue="1" operator="equal">
      <formula>$A$43</formula>
    </cfRule>
  </conditionalFormatting>
  <conditionalFormatting sqref="AU13">
    <cfRule type="cellIs" dxfId="2590" priority="1664" stopIfTrue="1" operator="equal">
      <formula>$A$43</formula>
    </cfRule>
  </conditionalFormatting>
  <conditionalFormatting sqref="AU13">
    <cfRule type="cellIs" dxfId="2589" priority="1663" stopIfTrue="1" operator="equal">
      <formula>$A$43</formula>
    </cfRule>
  </conditionalFormatting>
  <conditionalFormatting sqref="AU13">
    <cfRule type="cellIs" dxfId="2588" priority="1662" stopIfTrue="1" operator="equal">
      <formula>$A$43</formula>
    </cfRule>
  </conditionalFormatting>
  <conditionalFormatting sqref="AU13">
    <cfRule type="cellIs" dxfId="2587" priority="1661" stopIfTrue="1" operator="equal">
      <formula>$A$43</formula>
    </cfRule>
  </conditionalFormatting>
  <conditionalFormatting sqref="AU13">
    <cfRule type="cellIs" dxfId="2586" priority="1660" stopIfTrue="1" operator="equal">
      <formula>$A$43</formula>
    </cfRule>
  </conditionalFormatting>
  <conditionalFormatting sqref="AU26:AU27">
    <cfRule type="cellIs" dxfId="2585" priority="1658" stopIfTrue="1" operator="equal">
      <formula>$A$43</formula>
    </cfRule>
  </conditionalFormatting>
  <conditionalFormatting sqref="AU17">
    <cfRule type="cellIs" dxfId="2584" priority="1657" stopIfTrue="1" operator="equal">
      <formula>$A$42</formula>
    </cfRule>
  </conditionalFormatting>
  <conditionalFormatting sqref="AU26:AU27">
    <cfRule type="cellIs" dxfId="2583" priority="1655" stopIfTrue="1" operator="equal">
      <formula>$A$43</formula>
    </cfRule>
  </conditionalFormatting>
  <conditionalFormatting sqref="AU17">
    <cfRule type="cellIs" dxfId="2582" priority="1654" stopIfTrue="1" operator="equal">
      <formula>$A$42</formula>
    </cfRule>
  </conditionalFormatting>
  <conditionalFormatting sqref="AU16">
    <cfRule type="cellIs" dxfId="2581" priority="1653" stopIfTrue="1" operator="equal">
      <formula>$A$42</formula>
    </cfRule>
  </conditionalFormatting>
  <conditionalFormatting sqref="AU13">
    <cfRule type="cellIs" dxfId="2580" priority="1652" stopIfTrue="1" operator="equal">
      <formula>$A$43</formula>
    </cfRule>
  </conditionalFormatting>
  <conditionalFormatting sqref="AU13">
    <cfRule type="cellIs" dxfId="2579" priority="1651" stopIfTrue="1" operator="equal">
      <formula>$A$43</formula>
    </cfRule>
  </conditionalFormatting>
  <conditionalFormatting sqref="AU13">
    <cfRule type="cellIs" dxfId="2578" priority="1650" stopIfTrue="1" operator="equal">
      <formula>$A$43</formula>
    </cfRule>
  </conditionalFormatting>
  <conditionalFormatting sqref="AU13">
    <cfRule type="cellIs" dxfId="2577" priority="1649" stopIfTrue="1" operator="equal">
      <formula>$A$43</formula>
    </cfRule>
  </conditionalFormatting>
  <conditionalFormatting sqref="AU13">
    <cfRule type="cellIs" dxfId="2576" priority="1648" stopIfTrue="1" operator="equal">
      <formula>$A$43</formula>
    </cfRule>
  </conditionalFormatting>
  <conditionalFormatting sqref="AU13">
    <cfRule type="cellIs" dxfId="2575" priority="1647" stopIfTrue="1" operator="equal">
      <formula>$A$43</formula>
    </cfRule>
  </conditionalFormatting>
  <conditionalFormatting sqref="AU26:AU27">
    <cfRule type="cellIs" dxfId="2574" priority="1645" stopIfTrue="1" operator="equal">
      <formula>$A$43</formula>
    </cfRule>
  </conditionalFormatting>
  <conditionalFormatting sqref="AU17">
    <cfRule type="cellIs" dxfId="2573" priority="1644" stopIfTrue="1" operator="equal">
      <formula>$A$42</formula>
    </cfRule>
  </conditionalFormatting>
  <conditionalFormatting sqref="AU26:AU27">
    <cfRule type="cellIs" dxfId="2572" priority="1642" stopIfTrue="1" operator="equal">
      <formula>$A$43</formula>
    </cfRule>
  </conditionalFormatting>
  <conditionalFormatting sqref="AU17">
    <cfRule type="cellIs" dxfId="2571" priority="1641" stopIfTrue="1" operator="equal">
      <formula>$A$42</formula>
    </cfRule>
  </conditionalFormatting>
  <conditionalFormatting sqref="AU16">
    <cfRule type="cellIs" dxfId="2570" priority="1640" stopIfTrue="1" operator="equal">
      <formula>$A$42</formula>
    </cfRule>
  </conditionalFormatting>
  <conditionalFormatting sqref="AU13">
    <cfRule type="cellIs" dxfId="2569" priority="1639" stopIfTrue="1" operator="equal">
      <formula>$A$43</formula>
    </cfRule>
  </conditionalFormatting>
  <conditionalFormatting sqref="AU13">
    <cfRule type="cellIs" dxfId="2568" priority="1638" stopIfTrue="1" operator="equal">
      <formula>$A$43</formula>
    </cfRule>
  </conditionalFormatting>
  <conditionalFormatting sqref="AU13">
    <cfRule type="cellIs" dxfId="2567" priority="1637" stopIfTrue="1" operator="equal">
      <formula>$A$43</formula>
    </cfRule>
  </conditionalFormatting>
  <conditionalFormatting sqref="AU13">
    <cfRule type="cellIs" dxfId="2566" priority="1636" stopIfTrue="1" operator="equal">
      <formula>$A$43</formula>
    </cfRule>
  </conditionalFormatting>
  <conditionalFormatting sqref="AU13">
    <cfRule type="cellIs" dxfId="2565" priority="1635" stopIfTrue="1" operator="equal">
      <formula>$A$43</formula>
    </cfRule>
  </conditionalFormatting>
  <conditionalFormatting sqref="AU13">
    <cfRule type="cellIs" dxfId="2564" priority="1634" stopIfTrue="1" operator="equal">
      <formula>$A$43</formula>
    </cfRule>
  </conditionalFormatting>
  <conditionalFormatting sqref="AU26:AU27">
    <cfRule type="cellIs" dxfId="2563" priority="1632" stopIfTrue="1" operator="equal">
      <formula>$A$43</formula>
    </cfRule>
  </conditionalFormatting>
  <conditionalFormatting sqref="AU17">
    <cfRule type="cellIs" dxfId="2562" priority="1631" stopIfTrue="1" operator="equal">
      <formula>$A$42</formula>
    </cfRule>
  </conditionalFormatting>
  <conditionalFormatting sqref="AU26:AU27">
    <cfRule type="cellIs" dxfId="2561" priority="1629" stopIfTrue="1" operator="equal">
      <formula>$A$43</formula>
    </cfRule>
  </conditionalFormatting>
  <conditionalFormatting sqref="AU17">
    <cfRule type="cellIs" dxfId="2560" priority="1628" stopIfTrue="1" operator="equal">
      <formula>$A$42</formula>
    </cfRule>
  </conditionalFormatting>
  <conditionalFormatting sqref="AU16">
    <cfRule type="cellIs" dxfId="2559" priority="1627" stopIfTrue="1" operator="equal">
      <formula>$A$42</formula>
    </cfRule>
  </conditionalFormatting>
  <conditionalFormatting sqref="AU13">
    <cfRule type="cellIs" dxfId="2558" priority="1626" stopIfTrue="1" operator="equal">
      <formula>$A$43</formula>
    </cfRule>
  </conditionalFormatting>
  <conditionalFormatting sqref="AU13">
    <cfRule type="cellIs" dxfId="2557" priority="1625" stopIfTrue="1" operator="equal">
      <formula>$A$43</formula>
    </cfRule>
  </conditionalFormatting>
  <conditionalFormatting sqref="AU13">
    <cfRule type="cellIs" dxfId="2556" priority="1624" stopIfTrue="1" operator="equal">
      <formula>$A$43</formula>
    </cfRule>
  </conditionalFormatting>
  <conditionalFormatting sqref="AU13">
    <cfRule type="cellIs" dxfId="2555" priority="1623" stopIfTrue="1" operator="equal">
      <formula>$A$43</formula>
    </cfRule>
  </conditionalFormatting>
  <conditionalFormatting sqref="AU13">
    <cfRule type="cellIs" dxfId="2554" priority="1622" stopIfTrue="1" operator="equal">
      <formula>$A$43</formula>
    </cfRule>
  </conditionalFormatting>
  <conditionalFormatting sqref="AU13">
    <cfRule type="cellIs" dxfId="2553" priority="1621" stopIfTrue="1" operator="equal">
      <formula>$A$43</formula>
    </cfRule>
  </conditionalFormatting>
  <conditionalFormatting sqref="AU26:AU27">
    <cfRule type="cellIs" dxfId="2552" priority="1619" stopIfTrue="1" operator="equal">
      <formula>$A$43</formula>
    </cfRule>
  </conditionalFormatting>
  <conditionalFormatting sqref="AU17">
    <cfRule type="cellIs" dxfId="2551" priority="1618" stopIfTrue="1" operator="equal">
      <formula>$A$42</formula>
    </cfRule>
  </conditionalFormatting>
  <conditionalFormatting sqref="AU26:AU27">
    <cfRule type="cellIs" dxfId="2550" priority="1616" stopIfTrue="1" operator="equal">
      <formula>$A$43</formula>
    </cfRule>
  </conditionalFormatting>
  <conditionalFormatting sqref="AU17">
    <cfRule type="cellIs" dxfId="2549" priority="1615" stopIfTrue="1" operator="equal">
      <formula>$A$42</formula>
    </cfRule>
  </conditionalFormatting>
  <conditionalFormatting sqref="AU16">
    <cfRule type="cellIs" dxfId="2548" priority="1614" stopIfTrue="1" operator="equal">
      <formula>$A$42</formula>
    </cfRule>
  </conditionalFormatting>
  <conditionalFormatting sqref="AU13">
    <cfRule type="cellIs" dxfId="2547" priority="1613" stopIfTrue="1" operator="equal">
      <formula>$A$43</formula>
    </cfRule>
  </conditionalFormatting>
  <conditionalFormatting sqref="AU13">
    <cfRule type="cellIs" dxfId="2546" priority="1612" stopIfTrue="1" operator="equal">
      <formula>$A$43</formula>
    </cfRule>
  </conditionalFormatting>
  <conditionalFormatting sqref="AU13">
    <cfRule type="cellIs" dxfId="2545" priority="1611" stopIfTrue="1" operator="equal">
      <formula>$A$43</formula>
    </cfRule>
  </conditionalFormatting>
  <conditionalFormatting sqref="AU13">
    <cfRule type="cellIs" dxfId="2544" priority="1610" stopIfTrue="1" operator="equal">
      <formula>$A$43</formula>
    </cfRule>
  </conditionalFormatting>
  <conditionalFormatting sqref="AU13">
    <cfRule type="cellIs" dxfId="2543" priority="1609" stopIfTrue="1" operator="equal">
      <formula>$A$43</formula>
    </cfRule>
  </conditionalFormatting>
  <conditionalFormatting sqref="AU13">
    <cfRule type="cellIs" dxfId="2542" priority="1608" stopIfTrue="1" operator="equal">
      <formula>$A$43</formula>
    </cfRule>
  </conditionalFormatting>
  <conditionalFormatting sqref="AW11">
    <cfRule type="cellIs" dxfId="2541" priority="1607" stopIfTrue="1" operator="equal">
      <formula>$A$42</formula>
    </cfRule>
  </conditionalFormatting>
  <conditionalFormatting sqref="AW11">
    <cfRule type="cellIs" dxfId="2540" priority="1605" stopIfTrue="1" operator="equal">
      <formula>$A$42</formula>
    </cfRule>
  </conditionalFormatting>
  <conditionalFormatting sqref="AW11">
    <cfRule type="cellIs" dxfId="2539" priority="1603" stopIfTrue="1" operator="equal">
      <formula>$A$42</formula>
    </cfRule>
  </conditionalFormatting>
  <conditionalFormatting sqref="AW11">
    <cfRule type="cellIs" dxfId="2538" priority="1601" stopIfTrue="1" operator="equal">
      <formula>$A$42</formula>
    </cfRule>
  </conditionalFormatting>
  <conditionalFormatting sqref="AW11">
    <cfRule type="cellIs" dxfId="2537" priority="1599" stopIfTrue="1" operator="equal">
      <formula>$A$42</formula>
    </cfRule>
  </conditionalFormatting>
  <conditionalFormatting sqref="AW11">
    <cfRule type="cellIs" dxfId="2536" priority="1597" stopIfTrue="1" operator="equal">
      <formula>$A$42</formula>
    </cfRule>
  </conditionalFormatting>
  <conditionalFormatting sqref="AW11">
    <cfRule type="cellIs" dxfId="2535" priority="1595" stopIfTrue="1" operator="equal">
      <formula>$A$42</formula>
    </cfRule>
  </conditionalFormatting>
  <conditionalFormatting sqref="AW11">
    <cfRule type="cellIs" dxfId="2534" priority="1593" stopIfTrue="1" operator="equal">
      <formula>$A$42</formula>
    </cfRule>
  </conditionalFormatting>
  <conditionalFormatting sqref="AW11">
    <cfRule type="cellIs" dxfId="2533" priority="1591" stopIfTrue="1" operator="equal">
      <formula>$A$42</formula>
    </cfRule>
  </conditionalFormatting>
  <conditionalFormatting sqref="AW11">
    <cfRule type="cellIs" dxfId="2532" priority="1589" stopIfTrue="1" operator="equal">
      <formula>$A$42</formula>
    </cfRule>
  </conditionalFormatting>
  <conditionalFormatting sqref="AW11">
    <cfRule type="cellIs" dxfId="2531" priority="1587" stopIfTrue="1" operator="equal">
      <formula>$A$42</formula>
    </cfRule>
  </conditionalFormatting>
  <conditionalFormatting sqref="AW11">
    <cfRule type="cellIs" dxfId="2530" priority="1585" stopIfTrue="1" operator="equal">
      <formula>$A$42</formula>
    </cfRule>
  </conditionalFormatting>
  <conditionalFormatting sqref="AW11">
    <cfRule type="cellIs" dxfId="2529" priority="1583" stopIfTrue="1" operator="equal">
      <formula>$A$42</formula>
    </cfRule>
  </conditionalFormatting>
  <conditionalFormatting sqref="AW11">
    <cfRule type="cellIs" dxfId="2528" priority="1581" stopIfTrue="1" operator="equal">
      <formula>$A$42</formula>
    </cfRule>
  </conditionalFormatting>
  <conditionalFormatting sqref="AW11">
    <cfRule type="cellIs" dxfId="2527" priority="1579" stopIfTrue="1" operator="equal">
      <formula>$A$42</formula>
    </cfRule>
  </conditionalFormatting>
  <conditionalFormatting sqref="AW13">
    <cfRule type="cellIs" dxfId="2526" priority="1578" stopIfTrue="1" operator="equal">
      <formula>$A$43</formula>
    </cfRule>
  </conditionalFormatting>
  <conditionalFormatting sqref="AW13">
    <cfRule type="cellIs" dxfId="2525" priority="1577" stopIfTrue="1" operator="equal">
      <formula>$A$43</formula>
    </cfRule>
  </conditionalFormatting>
  <conditionalFormatting sqref="AW13">
    <cfRule type="cellIs" dxfId="2524" priority="1576" stopIfTrue="1" operator="equal">
      <formula>$A$43</formula>
    </cfRule>
  </conditionalFormatting>
  <conditionalFormatting sqref="AW13">
    <cfRule type="cellIs" dxfId="2523" priority="1575" stopIfTrue="1" operator="equal">
      <formula>$A$43</formula>
    </cfRule>
  </conditionalFormatting>
  <conditionalFormatting sqref="AW13">
    <cfRule type="cellIs" dxfId="2522" priority="1574" stopIfTrue="1" operator="equal">
      <formula>$A$43</formula>
    </cfRule>
  </conditionalFormatting>
  <conditionalFormatting sqref="AW13">
    <cfRule type="cellIs" dxfId="2521" priority="1573" stopIfTrue="1" operator="equal">
      <formula>$A$43</formula>
    </cfRule>
  </conditionalFormatting>
  <conditionalFormatting sqref="AW13">
    <cfRule type="cellIs" dxfId="2520" priority="1572" stopIfTrue="1" operator="equal">
      <formula>$A$43</formula>
    </cfRule>
  </conditionalFormatting>
  <conditionalFormatting sqref="AW13">
    <cfRule type="cellIs" dxfId="2519" priority="1571" stopIfTrue="1" operator="equal">
      <formula>$A$43</formula>
    </cfRule>
  </conditionalFormatting>
  <conditionalFormatting sqref="AW13">
    <cfRule type="cellIs" dxfId="2518" priority="1570" stopIfTrue="1" operator="equal">
      <formula>$A$43</formula>
    </cfRule>
  </conditionalFormatting>
  <conditionalFormatting sqref="AW13">
    <cfRule type="cellIs" dxfId="2517" priority="1569" stopIfTrue="1" operator="equal">
      <formula>$A$43</formula>
    </cfRule>
  </conditionalFormatting>
  <conditionalFormatting sqref="AW13">
    <cfRule type="cellIs" dxfId="2516" priority="1568" stopIfTrue="1" operator="equal">
      <formula>$A$43</formula>
    </cfRule>
  </conditionalFormatting>
  <conditionalFormatting sqref="AW13">
    <cfRule type="cellIs" dxfId="2515" priority="1567" stopIfTrue="1" operator="equal">
      <formula>$A$43</formula>
    </cfRule>
  </conditionalFormatting>
  <conditionalFormatting sqref="AW13">
    <cfRule type="cellIs" dxfId="2514" priority="1566" stopIfTrue="1" operator="equal">
      <formula>$A$43</formula>
    </cfRule>
  </conditionalFormatting>
  <conditionalFormatting sqref="AW13">
    <cfRule type="cellIs" dxfId="2513" priority="1565" stopIfTrue="1" operator="equal">
      <formula>$A$43</formula>
    </cfRule>
  </conditionalFormatting>
  <conditionalFormatting sqref="AW13">
    <cfRule type="cellIs" dxfId="2512" priority="1564" stopIfTrue="1" operator="equal">
      <formula>$A$43</formula>
    </cfRule>
  </conditionalFormatting>
  <conditionalFormatting sqref="AW13">
    <cfRule type="cellIs" dxfId="2511" priority="1563" stopIfTrue="1" operator="equal">
      <formula>$A$43</formula>
    </cfRule>
  </conditionalFormatting>
  <conditionalFormatting sqref="AW13">
    <cfRule type="cellIs" dxfId="2510" priority="1562" stopIfTrue="1" operator="equal">
      <formula>$A$43</formula>
    </cfRule>
  </conditionalFormatting>
  <conditionalFormatting sqref="AW13">
    <cfRule type="cellIs" dxfId="2509" priority="1561" stopIfTrue="1" operator="equal">
      <formula>$A$43</formula>
    </cfRule>
  </conditionalFormatting>
  <conditionalFormatting sqref="AW13">
    <cfRule type="cellIs" dxfId="2508" priority="1560" stopIfTrue="1" operator="equal">
      <formula>$A$43</formula>
    </cfRule>
  </conditionalFormatting>
  <conditionalFormatting sqref="AW13">
    <cfRule type="cellIs" dxfId="2507" priority="1559" stopIfTrue="1" operator="equal">
      <formula>$A$43</formula>
    </cfRule>
  </conditionalFormatting>
  <conditionalFormatting sqref="AW13">
    <cfRule type="cellIs" dxfId="2506" priority="1558" stopIfTrue="1" operator="equal">
      <formula>$A$43</formula>
    </cfRule>
  </conditionalFormatting>
  <conditionalFormatting sqref="AW13">
    <cfRule type="cellIs" dxfId="2505" priority="1557" stopIfTrue="1" operator="equal">
      <formula>$A$43</formula>
    </cfRule>
  </conditionalFormatting>
  <conditionalFormatting sqref="AW13">
    <cfRule type="cellIs" dxfId="2504" priority="1556" stopIfTrue="1" operator="equal">
      <formula>$A$43</formula>
    </cfRule>
  </conditionalFormatting>
  <conditionalFormatting sqref="AW13">
    <cfRule type="cellIs" dxfId="2503" priority="1555" stopIfTrue="1" operator="equal">
      <formula>$A$43</formula>
    </cfRule>
  </conditionalFormatting>
  <conditionalFormatting sqref="AW13">
    <cfRule type="cellIs" dxfId="2502" priority="1554" stopIfTrue="1" operator="equal">
      <formula>$A$43</formula>
    </cfRule>
  </conditionalFormatting>
  <conditionalFormatting sqref="AW13">
    <cfRule type="cellIs" dxfId="2501" priority="1553" stopIfTrue="1" operator="equal">
      <formula>$A$43</formula>
    </cfRule>
  </conditionalFormatting>
  <conditionalFormatting sqref="AW13">
    <cfRule type="cellIs" dxfId="2500" priority="1552" stopIfTrue="1" operator="equal">
      <formula>$A$43</formula>
    </cfRule>
  </conditionalFormatting>
  <conditionalFormatting sqref="AW13">
    <cfRule type="cellIs" dxfId="2499" priority="1551" stopIfTrue="1" operator="equal">
      <formula>$A$43</formula>
    </cfRule>
  </conditionalFormatting>
  <conditionalFormatting sqref="AW13">
    <cfRule type="cellIs" dxfId="2498" priority="1550" stopIfTrue="1" operator="equal">
      <formula>$A$43</formula>
    </cfRule>
  </conditionalFormatting>
  <conditionalFormatting sqref="AW13">
    <cfRule type="cellIs" dxfId="2497" priority="1549" stopIfTrue="1" operator="equal">
      <formula>$A$43</formula>
    </cfRule>
  </conditionalFormatting>
  <conditionalFormatting sqref="AW13">
    <cfRule type="cellIs" dxfId="2496" priority="1548" stopIfTrue="1" operator="equal">
      <formula>$A$43</formula>
    </cfRule>
  </conditionalFormatting>
  <conditionalFormatting sqref="AW13">
    <cfRule type="cellIs" dxfId="2495" priority="1547" stopIfTrue="1" operator="equal">
      <formula>$A$43</formula>
    </cfRule>
  </conditionalFormatting>
  <conditionalFormatting sqref="AW13">
    <cfRule type="cellIs" dxfId="2494" priority="1546" stopIfTrue="1" operator="equal">
      <formula>$A$43</formula>
    </cfRule>
  </conditionalFormatting>
  <conditionalFormatting sqref="AW13">
    <cfRule type="cellIs" dxfId="2493" priority="1545" stopIfTrue="1" operator="equal">
      <formula>$A$43</formula>
    </cfRule>
  </conditionalFormatting>
  <conditionalFormatting sqref="AW13">
    <cfRule type="cellIs" dxfId="2492" priority="1544" stopIfTrue="1" operator="equal">
      <formula>$A$43</formula>
    </cfRule>
  </conditionalFormatting>
  <conditionalFormatting sqref="AW13">
    <cfRule type="cellIs" dxfId="2491" priority="1543" stopIfTrue="1" operator="equal">
      <formula>$A$43</formula>
    </cfRule>
  </conditionalFormatting>
  <conditionalFormatting sqref="AW13">
    <cfRule type="cellIs" dxfId="2490" priority="1542" stopIfTrue="1" operator="equal">
      <formula>$A$43</formula>
    </cfRule>
  </conditionalFormatting>
  <conditionalFormatting sqref="AW13">
    <cfRule type="cellIs" dxfId="2489" priority="1541" stopIfTrue="1" operator="equal">
      <formula>$A$43</formula>
    </cfRule>
  </conditionalFormatting>
  <conditionalFormatting sqref="AW13">
    <cfRule type="cellIs" dxfId="2488" priority="1540" stopIfTrue="1" operator="equal">
      <formula>$A$43</formula>
    </cfRule>
  </conditionalFormatting>
  <conditionalFormatting sqref="AW13">
    <cfRule type="cellIs" dxfId="2487" priority="1539" stopIfTrue="1" operator="equal">
      <formula>$A$43</formula>
    </cfRule>
  </conditionalFormatting>
  <conditionalFormatting sqref="AW13">
    <cfRule type="cellIs" dxfId="2486" priority="1538" stopIfTrue="1" operator="equal">
      <formula>$A$43</formula>
    </cfRule>
  </conditionalFormatting>
  <conditionalFormatting sqref="AW13">
    <cfRule type="cellIs" dxfId="2485" priority="1537" stopIfTrue="1" operator="equal">
      <formula>$A$43</formula>
    </cfRule>
  </conditionalFormatting>
  <conditionalFormatting sqref="AW13">
    <cfRule type="cellIs" dxfId="2484" priority="1536" stopIfTrue="1" operator="equal">
      <formula>$A$43</formula>
    </cfRule>
  </conditionalFormatting>
  <conditionalFormatting sqref="AW13">
    <cfRule type="cellIs" dxfId="2483" priority="1535" stopIfTrue="1" operator="equal">
      <formula>$A$43</formula>
    </cfRule>
  </conditionalFormatting>
  <conditionalFormatting sqref="AW13">
    <cfRule type="cellIs" dxfId="2482" priority="1534" stopIfTrue="1" operator="equal">
      <formula>$A$43</formula>
    </cfRule>
  </conditionalFormatting>
  <conditionalFormatting sqref="AW13">
    <cfRule type="cellIs" dxfId="2481" priority="1533" stopIfTrue="1" operator="equal">
      <formula>$A$43</formula>
    </cfRule>
  </conditionalFormatting>
  <conditionalFormatting sqref="AW13">
    <cfRule type="cellIs" dxfId="2480" priority="1532" stopIfTrue="1" operator="equal">
      <formula>$A$43</formula>
    </cfRule>
  </conditionalFormatting>
  <conditionalFormatting sqref="AW13">
    <cfRule type="cellIs" dxfId="2479" priority="1531" stopIfTrue="1" operator="equal">
      <formula>$A$43</formula>
    </cfRule>
  </conditionalFormatting>
  <conditionalFormatting sqref="AW13">
    <cfRule type="cellIs" dxfId="2478" priority="1530" stopIfTrue="1" operator="equal">
      <formula>$A$43</formula>
    </cfRule>
  </conditionalFormatting>
  <conditionalFormatting sqref="AW13">
    <cfRule type="cellIs" dxfId="2477" priority="1529" stopIfTrue="1" operator="equal">
      <formula>$A$43</formula>
    </cfRule>
  </conditionalFormatting>
  <conditionalFormatting sqref="AU16">
    <cfRule type="cellIs" dxfId="2476" priority="1472" stopIfTrue="1" operator="equal">
      <formula>$A$43</formula>
    </cfRule>
  </conditionalFormatting>
  <conditionalFormatting sqref="AU16">
    <cfRule type="cellIs" dxfId="2475" priority="1471" stopIfTrue="1" operator="equal">
      <formula>$A$43</formula>
    </cfRule>
  </conditionalFormatting>
  <conditionalFormatting sqref="AU16">
    <cfRule type="cellIs" dxfId="2474" priority="1470" stopIfTrue="1" operator="equal">
      <formula>$A$42</formula>
    </cfRule>
  </conditionalFormatting>
  <conditionalFormatting sqref="AU16">
    <cfRule type="cellIs" dxfId="2473" priority="1469" stopIfTrue="1" operator="equal">
      <formula>$A$43</formula>
    </cfRule>
  </conditionalFormatting>
  <conditionalFormatting sqref="AU16">
    <cfRule type="cellIs" dxfId="2472" priority="1468" stopIfTrue="1" operator="equal">
      <formula>$A$43</formula>
    </cfRule>
  </conditionalFormatting>
  <conditionalFormatting sqref="AU16">
    <cfRule type="cellIs" dxfId="2471" priority="1467" stopIfTrue="1" operator="equal">
      <formula>$A$42</formula>
    </cfRule>
  </conditionalFormatting>
  <conditionalFormatting sqref="AU16">
    <cfRule type="cellIs" dxfId="2470" priority="1466" stopIfTrue="1" operator="equal">
      <formula>$A$43</formula>
    </cfRule>
  </conditionalFormatting>
  <conditionalFormatting sqref="AU16">
    <cfRule type="cellIs" dxfId="2469" priority="1465" stopIfTrue="1" operator="equal">
      <formula>$A$43</formula>
    </cfRule>
  </conditionalFormatting>
  <conditionalFormatting sqref="AU16">
    <cfRule type="cellIs" dxfId="2468" priority="1464" stopIfTrue="1" operator="equal">
      <formula>$A$42</formula>
    </cfRule>
  </conditionalFormatting>
  <conditionalFormatting sqref="AU16">
    <cfRule type="cellIs" dxfId="2467" priority="1463" stopIfTrue="1" operator="equal">
      <formula>$A$43</formula>
    </cfRule>
  </conditionalFormatting>
  <conditionalFormatting sqref="AU16">
    <cfRule type="cellIs" dxfId="2466" priority="1462" stopIfTrue="1" operator="equal">
      <formula>$A$43</formula>
    </cfRule>
  </conditionalFormatting>
  <conditionalFormatting sqref="AU16">
    <cfRule type="cellIs" dxfId="2465" priority="1461" stopIfTrue="1" operator="equal">
      <formula>$A$42</formula>
    </cfRule>
  </conditionalFormatting>
  <conditionalFormatting sqref="AU16">
    <cfRule type="cellIs" dxfId="2464" priority="1460" stopIfTrue="1" operator="equal">
      <formula>$A$43</formula>
    </cfRule>
  </conditionalFormatting>
  <conditionalFormatting sqref="AU16">
    <cfRule type="cellIs" dxfId="2463" priority="1459" stopIfTrue="1" operator="equal">
      <formula>$A$43</formula>
    </cfRule>
  </conditionalFormatting>
  <conditionalFormatting sqref="AU16">
    <cfRule type="cellIs" dxfId="2462" priority="1458" stopIfTrue="1" operator="equal">
      <formula>$A$42</formula>
    </cfRule>
  </conditionalFormatting>
  <conditionalFormatting sqref="AU16">
    <cfRule type="cellIs" dxfId="2461" priority="1457" stopIfTrue="1" operator="equal">
      <formula>$A$43</formula>
    </cfRule>
  </conditionalFormatting>
  <conditionalFormatting sqref="AU16">
    <cfRule type="cellIs" dxfId="2460" priority="1456" stopIfTrue="1" operator="equal">
      <formula>$A$43</formula>
    </cfRule>
  </conditionalFormatting>
  <conditionalFormatting sqref="AU16">
    <cfRule type="cellIs" dxfId="2459" priority="1455" stopIfTrue="1" operator="equal">
      <formula>$A$42</formula>
    </cfRule>
  </conditionalFormatting>
  <conditionalFormatting sqref="AU16">
    <cfRule type="cellIs" dxfId="2458" priority="1454" stopIfTrue="1" operator="equal">
      <formula>$A$43</formula>
    </cfRule>
  </conditionalFormatting>
  <conditionalFormatting sqref="AU16">
    <cfRule type="cellIs" dxfId="2457" priority="1453" stopIfTrue="1" operator="equal">
      <formula>$A$43</formula>
    </cfRule>
  </conditionalFormatting>
  <conditionalFormatting sqref="AU16">
    <cfRule type="cellIs" dxfId="2456" priority="1452" stopIfTrue="1" operator="equal">
      <formula>$A$42</formula>
    </cfRule>
  </conditionalFormatting>
  <conditionalFormatting sqref="AW16">
    <cfRule type="cellIs" dxfId="2455" priority="1451" stopIfTrue="1" operator="equal">
      <formula>$A$43</formula>
    </cfRule>
  </conditionalFormatting>
  <conditionalFormatting sqref="AW16">
    <cfRule type="cellIs" dxfId="2454" priority="1450" stopIfTrue="1" operator="equal">
      <formula>$A$43</formula>
    </cfRule>
  </conditionalFormatting>
  <conditionalFormatting sqref="AW16">
    <cfRule type="cellIs" dxfId="2453" priority="1449" stopIfTrue="1" operator="equal">
      <formula>$A$42</formula>
    </cfRule>
  </conditionalFormatting>
  <conditionalFormatting sqref="AW16">
    <cfRule type="cellIs" dxfId="2452" priority="1448" stopIfTrue="1" operator="equal">
      <formula>$A$43</formula>
    </cfRule>
  </conditionalFormatting>
  <conditionalFormatting sqref="AW16">
    <cfRule type="cellIs" dxfId="2451" priority="1447" stopIfTrue="1" operator="equal">
      <formula>$A$43</formula>
    </cfRule>
  </conditionalFormatting>
  <conditionalFormatting sqref="AW16">
    <cfRule type="cellIs" dxfId="2450" priority="1446" stopIfTrue="1" operator="equal">
      <formula>$A$42</formula>
    </cfRule>
  </conditionalFormatting>
  <conditionalFormatting sqref="AW16">
    <cfRule type="cellIs" dxfId="2449" priority="1445" stopIfTrue="1" operator="equal">
      <formula>$A$43</formula>
    </cfRule>
  </conditionalFormatting>
  <conditionalFormatting sqref="AW16">
    <cfRule type="cellIs" dxfId="2448" priority="1444" stopIfTrue="1" operator="equal">
      <formula>$A$43</formula>
    </cfRule>
  </conditionalFormatting>
  <conditionalFormatting sqref="AW16">
    <cfRule type="cellIs" dxfId="2447" priority="1443" stopIfTrue="1" operator="equal">
      <formula>$A$42</formula>
    </cfRule>
  </conditionalFormatting>
  <conditionalFormatting sqref="AW16">
    <cfRule type="cellIs" dxfId="2446" priority="1442" stopIfTrue="1" operator="equal">
      <formula>$A$43</formula>
    </cfRule>
  </conditionalFormatting>
  <conditionalFormatting sqref="AW16">
    <cfRule type="cellIs" dxfId="2445" priority="1441" stopIfTrue="1" operator="equal">
      <formula>$A$43</formula>
    </cfRule>
  </conditionalFormatting>
  <conditionalFormatting sqref="AW16">
    <cfRule type="cellIs" dxfId="2444" priority="1440" stopIfTrue="1" operator="equal">
      <formula>$A$42</formula>
    </cfRule>
  </conditionalFormatting>
  <conditionalFormatting sqref="AW16">
    <cfRule type="cellIs" dxfId="2443" priority="1439" stopIfTrue="1" operator="equal">
      <formula>$A$43</formula>
    </cfRule>
  </conditionalFormatting>
  <conditionalFormatting sqref="AW16">
    <cfRule type="cellIs" dxfId="2442" priority="1438" stopIfTrue="1" operator="equal">
      <formula>$A$43</formula>
    </cfRule>
  </conditionalFormatting>
  <conditionalFormatting sqref="AW16">
    <cfRule type="cellIs" dxfId="2441" priority="1437" stopIfTrue="1" operator="equal">
      <formula>$A$42</formula>
    </cfRule>
  </conditionalFormatting>
  <conditionalFormatting sqref="AW16">
    <cfRule type="cellIs" dxfId="2440" priority="1436" stopIfTrue="1" operator="equal">
      <formula>$A$43</formula>
    </cfRule>
  </conditionalFormatting>
  <conditionalFormatting sqref="AW16">
    <cfRule type="cellIs" dxfId="2439" priority="1435" stopIfTrue="1" operator="equal">
      <formula>$A$43</formula>
    </cfRule>
  </conditionalFormatting>
  <conditionalFormatting sqref="AW16">
    <cfRule type="cellIs" dxfId="2438" priority="1434" stopIfTrue="1" operator="equal">
      <formula>$A$42</formula>
    </cfRule>
  </conditionalFormatting>
  <conditionalFormatting sqref="AW16">
    <cfRule type="cellIs" dxfId="2437" priority="1433" stopIfTrue="1" operator="equal">
      <formula>$A$43</formula>
    </cfRule>
  </conditionalFormatting>
  <conditionalFormatting sqref="AW16">
    <cfRule type="cellIs" dxfId="2436" priority="1432" stopIfTrue="1" operator="equal">
      <formula>$A$43</formula>
    </cfRule>
  </conditionalFormatting>
  <conditionalFormatting sqref="AW16">
    <cfRule type="cellIs" dxfId="2435" priority="1431" stopIfTrue="1" operator="equal">
      <formula>$A$42</formula>
    </cfRule>
  </conditionalFormatting>
  <conditionalFormatting sqref="AU17">
    <cfRule type="cellIs" dxfId="2434" priority="1430" stopIfTrue="1" operator="equal">
      <formula>$A$42</formula>
    </cfRule>
  </conditionalFormatting>
  <conditionalFormatting sqref="AU17">
    <cfRule type="cellIs" dxfId="2433" priority="1429" stopIfTrue="1" operator="equal">
      <formula>$A$42</formula>
    </cfRule>
  </conditionalFormatting>
  <conditionalFormatting sqref="AU17">
    <cfRule type="cellIs" dxfId="2432" priority="1428" stopIfTrue="1" operator="equal">
      <formula>$A$42</formula>
    </cfRule>
  </conditionalFormatting>
  <conditionalFormatting sqref="AU17">
    <cfRule type="cellIs" dxfId="2431" priority="1427" stopIfTrue="1" operator="equal">
      <formula>$A$42</formula>
    </cfRule>
  </conditionalFormatting>
  <conditionalFormatting sqref="AU17">
    <cfRule type="cellIs" dxfId="2430" priority="1426" stopIfTrue="1" operator="equal">
      <formula>$A$42</formula>
    </cfRule>
  </conditionalFormatting>
  <conditionalFormatting sqref="AU17">
    <cfRule type="cellIs" dxfId="2429" priority="1425" stopIfTrue="1" operator="equal">
      <formula>$A$42</formula>
    </cfRule>
  </conditionalFormatting>
  <conditionalFormatting sqref="AU17">
    <cfRule type="cellIs" dxfId="2428" priority="1424" stopIfTrue="1" operator="equal">
      <formula>$A$42</formula>
    </cfRule>
  </conditionalFormatting>
  <conditionalFormatting sqref="AU17">
    <cfRule type="cellIs" dxfId="2427" priority="1423" stopIfTrue="1" operator="equal">
      <formula>$A$43</formula>
    </cfRule>
  </conditionalFormatting>
  <conditionalFormatting sqref="AU17">
    <cfRule type="cellIs" dxfId="2426" priority="1422" stopIfTrue="1" operator="equal">
      <formula>$A$43</formula>
    </cfRule>
  </conditionalFormatting>
  <conditionalFormatting sqref="AU17">
    <cfRule type="cellIs" dxfId="2425" priority="1421" stopIfTrue="1" operator="equal">
      <formula>$A$42</formula>
    </cfRule>
  </conditionalFormatting>
  <conditionalFormatting sqref="AU17">
    <cfRule type="cellIs" dxfId="2424" priority="1420" stopIfTrue="1" operator="equal">
      <formula>$A$43</formula>
    </cfRule>
  </conditionalFormatting>
  <conditionalFormatting sqref="AU17">
    <cfRule type="cellIs" dxfId="2423" priority="1419" stopIfTrue="1" operator="equal">
      <formula>$A$43</formula>
    </cfRule>
  </conditionalFormatting>
  <conditionalFormatting sqref="AU17">
    <cfRule type="cellIs" dxfId="2422" priority="1418" stopIfTrue="1" operator="equal">
      <formula>$A$42</formula>
    </cfRule>
  </conditionalFormatting>
  <conditionalFormatting sqref="AU17">
    <cfRule type="cellIs" dxfId="2421" priority="1417" stopIfTrue="1" operator="equal">
      <formula>$A$43</formula>
    </cfRule>
  </conditionalFormatting>
  <conditionalFormatting sqref="AU17">
    <cfRule type="cellIs" dxfId="2420" priority="1416" stopIfTrue="1" operator="equal">
      <formula>$A$43</formula>
    </cfRule>
  </conditionalFormatting>
  <conditionalFormatting sqref="AU17">
    <cfRule type="cellIs" dxfId="2419" priority="1415" stopIfTrue="1" operator="equal">
      <formula>$A$42</formula>
    </cfRule>
  </conditionalFormatting>
  <conditionalFormatting sqref="AU17">
    <cfRule type="cellIs" dxfId="2418" priority="1414" stopIfTrue="1" operator="equal">
      <formula>$A$43</formula>
    </cfRule>
  </conditionalFormatting>
  <conditionalFormatting sqref="AU17">
    <cfRule type="cellIs" dxfId="2417" priority="1413" stopIfTrue="1" operator="equal">
      <formula>$A$43</formula>
    </cfRule>
  </conditionalFormatting>
  <conditionalFormatting sqref="AU17">
    <cfRule type="cellIs" dxfId="2416" priority="1412" stopIfTrue="1" operator="equal">
      <formula>$A$42</formula>
    </cfRule>
  </conditionalFormatting>
  <conditionalFormatting sqref="AU17">
    <cfRule type="cellIs" dxfId="2415" priority="1411" stopIfTrue="1" operator="equal">
      <formula>$A$43</formula>
    </cfRule>
  </conditionalFormatting>
  <conditionalFormatting sqref="AU17">
    <cfRule type="cellIs" dxfId="2414" priority="1410" stopIfTrue="1" operator="equal">
      <formula>$A$43</formula>
    </cfRule>
  </conditionalFormatting>
  <conditionalFormatting sqref="AU17">
    <cfRule type="cellIs" dxfId="2413" priority="1409" stopIfTrue="1" operator="equal">
      <formula>$A$42</formula>
    </cfRule>
  </conditionalFormatting>
  <conditionalFormatting sqref="AU17">
    <cfRule type="cellIs" dxfId="2412" priority="1408" stopIfTrue="1" operator="equal">
      <formula>$A$43</formula>
    </cfRule>
  </conditionalFormatting>
  <conditionalFormatting sqref="AU17">
    <cfRule type="cellIs" dxfId="2411" priority="1407" stopIfTrue="1" operator="equal">
      <formula>$A$43</formula>
    </cfRule>
  </conditionalFormatting>
  <conditionalFormatting sqref="AU17">
    <cfRule type="cellIs" dxfId="2410" priority="1406" stopIfTrue="1" operator="equal">
      <formula>$A$42</formula>
    </cfRule>
  </conditionalFormatting>
  <conditionalFormatting sqref="AU17">
    <cfRule type="cellIs" dxfId="2409" priority="1405" stopIfTrue="1" operator="equal">
      <formula>$A$43</formula>
    </cfRule>
  </conditionalFormatting>
  <conditionalFormatting sqref="AU17">
    <cfRule type="cellIs" dxfId="2408" priority="1404" stopIfTrue="1" operator="equal">
      <formula>$A$43</formula>
    </cfRule>
  </conditionalFormatting>
  <conditionalFormatting sqref="AU17">
    <cfRule type="cellIs" dxfId="2407" priority="1403" stopIfTrue="1" operator="equal">
      <formula>$A$42</formula>
    </cfRule>
  </conditionalFormatting>
  <conditionalFormatting sqref="AW17">
    <cfRule type="cellIs" dxfId="2406" priority="1402" stopIfTrue="1" operator="equal">
      <formula>$A$43</formula>
    </cfRule>
  </conditionalFormatting>
  <conditionalFormatting sqref="AW17">
    <cfRule type="cellIs" dxfId="2405" priority="1401" stopIfTrue="1" operator="equal">
      <formula>$A$43</formula>
    </cfRule>
  </conditionalFormatting>
  <conditionalFormatting sqref="AW17">
    <cfRule type="cellIs" dxfId="2404" priority="1400" stopIfTrue="1" operator="equal">
      <formula>$A$42</formula>
    </cfRule>
  </conditionalFormatting>
  <conditionalFormatting sqref="AW17">
    <cfRule type="cellIs" dxfId="2403" priority="1399" stopIfTrue="1" operator="equal">
      <formula>$A$43</formula>
    </cfRule>
  </conditionalFormatting>
  <conditionalFormatting sqref="AW17">
    <cfRule type="cellIs" dxfId="2402" priority="1398" stopIfTrue="1" operator="equal">
      <formula>$A$43</formula>
    </cfRule>
  </conditionalFormatting>
  <conditionalFormatting sqref="AW17">
    <cfRule type="cellIs" dxfId="2401" priority="1397" stopIfTrue="1" operator="equal">
      <formula>$A$42</formula>
    </cfRule>
  </conditionalFormatting>
  <conditionalFormatting sqref="AW17">
    <cfRule type="cellIs" dxfId="2400" priority="1396" stopIfTrue="1" operator="equal">
      <formula>$A$43</formula>
    </cfRule>
  </conditionalFormatting>
  <conditionalFormatting sqref="AW17">
    <cfRule type="cellIs" dxfId="2399" priority="1395" stopIfTrue="1" operator="equal">
      <formula>$A$43</formula>
    </cfRule>
  </conditionalFormatting>
  <conditionalFormatting sqref="AW17">
    <cfRule type="cellIs" dxfId="2398" priority="1394" stopIfTrue="1" operator="equal">
      <formula>$A$42</formula>
    </cfRule>
  </conditionalFormatting>
  <conditionalFormatting sqref="AW17">
    <cfRule type="cellIs" dxfId="2397" priority="1393" stopIfTrue="1" operator="equal">
      <formula>$A$43</formula>
    </cfRule>
  </conditionalFormatting>
  <conditionalFormatting sqref="AW17">
    <cfRule type="cellIs" dxfId="2396" priority="1392" stopIfTrue="1" operator="equal">
      <formula>$A$43</formula>
    </cfRule>
  </conditionalFormatting>
  <conditionalFormatting sqref="AW17">
    <cfRule type="cellIs" dxfId="2395" priority="1391" stopIfTrue="1" operator="equal">
      <formula>$A$42</formula>
    </cfRule>
  </conditionalFormatting>
  <conditionalFormatting sqref="AW17">
    <cfRule type="cellIs" dxfId="2394" priority="1390" stopIfTrue="1" operator="equal">
      <formula>$A$43</formula>
    </cfRule>
  </conditionalFormatting>
  <conditionalFormatting sqref="AW17">
    <cfRule type="cellIs" dxfId="2393" priority="1389" stopIfTrue="1" operator="equal">
      <formula>$A$43</formula>
    </cfRule>
  </conditionalFormatting>
  <conditionalFormatting sqref="AW17">
    <cfRule type="cellIs" dxfId="2392" priority="1388" stopIfTrue="1" operator="equal">
      <formula>$A$42</formula>
    </cfRule>
  </conditionalFormatting>
  <conditionalFormatting sqref="AW17">
    <cfRule type="cellIs" dxfId="2391" priority="1387" stopIfTrue="1" operator="equal">
      <formula>$A$43</formula>
    </cfRule>
  </conditionalFormatting>
  <conditionalFormatting sqref="AW17">
    <cfRule type="cellIs" dxfId="2390" priority="1386" stopIfTrue="1" operator="equal">
      <formula>$A$43</formula>
    </cfRule>
  </conditionalFormatting>
  <conditionalFormatting sqref="AW17">
    <cfRule type="cellIs" dxfId="2389" priority="1385" stopIfTrue="1" operator="equal">
      <formula>$A$42</formula>
    </cfRule>
  </conditionalFormatting>
  <conditionalFormatting sqref="AW17">
    <cfRule type="cellIs" dxfId="2388" priority="1384" stopIfTrue="1" operator="equal">
      <formula>$A$43</formula>
    </cfRule>
  </conditionalFormatting>
  <conditionalFormatting sqref="AW17">
    <cfRule type="cellIs" dxfId="2387" priority="1383" stopIfTrue="1" operator="equal">
      <formula>$A$43</formula>
    </cfRule>
  </conditionalFormatting>
  <conditionalFormatting sqref="AW17">
    <cfRule type="cellIs" dxfId="2386" priority="1382" stopIfTrue="1" operator="equal">
      <formula>$A$42</formula>
    </cfRule>
  </conditionalFormatting>
  <conditionalFormatting sqref="AU18">
    <cfRule type="cellIs" dxfId="2385" priority="1381" stopIfTrue="1" operator="equal">
      <formula>$A$43</formula>
    </cfRule>
  </conditionalFormatting>
  <conditionalFormatting sqref="AU18">
    <cfRule type="cellIs" dxfId="2384" priority="1380" stopIfTrue="1" operator="equal">
      <formula>$A$43</formula>
    </cfRule>
  </conditionalFormatting>
  <conditionalFormatting sqref="AU18">
    <cfRule type="cellIs" dxfId="2383" priority="1379" stopIfTrue="1" operator="equal">
      <formula>$A$43</formula>
    </cfRule>
  </conditionalFormatting>
  <conditionalFormatting sqref="AU18">
    <cfRule type="cellIs" dxfId="2382" priority="1378" stopIfTrue="1" operator="equal">
      <formula>$A$43</formula>
    </cfRule>
  </conditionalFormatting>
  <conditionalFormatting sqref="AU18">
    <cfRule type="cellIs" dxfId="2381" priority="1377" stopIfTrue="1" operator="equal">
      <formula>$A$43</formula>
    </cfRule>
  </conditionalFormatting>
  <conditionalFormatting sqref="AU18">
    <cfRule type="cellIs" dxfId="2380" priority="1376" stopIfTrue="1" operator="equal">
      <formula>$A$43</formula>
    </cfRule>
  </conditionalFormatting>
  <conditionalFormatting sqref="AU18">
    <cfRule type="cellIs" dxfId="2379" priority="1375" stopIfTrue="1" operator="equal">
      <formula>$A$43</formula>
    </cfRule>
  </conditionalFormatting>
  <conditionalFormatting sqref="AU18">
    <cfRule type="cellIs" dxfId="2378" priority="1374" stopIfTrue="1" operator="equal">
      <formula>$A$43</formula>
    </cfRule>
  </conditionalFormatting>
  <conditionalFormatting sqref="AU18">
    <cfRule type="cellIs" dxfId="2377" priority="1373" stopIfTrue="1" operator="equal">
      <formula>$A$43</formula>
    </cfRule>
  </conditionalFormatting>
  <conditionalFormatting sqref="AU18">
    <cfRule type="cellIs" dxfId="2376" priority="1372" stopIfTrue="1" operator="equal">
      <formula>$A$43</formula>
    </cfRule>
  </conditionalFormatting>
  <conditionalFormatting sqref="AU18">
    <cfRule type="cellIs" dxfId="2375" priority="1371" stopIfTrue="1" operator="equal">
      <formula>$A$43</formula>
    </cfRule>
  </conditionalFormatting>
  <conditionalFormatting sqref="AU18">
    <cfRule type="cellIs" dxfId="2374" priority="1370" stopIfTrue="1" operator="equal">
      <formula>$A$43</formula>
    </cfRule>
  </conditionalFormatting>
  <conditionalFormatting sqref="AU18">
    <cfRule type="cellIs" dxfId="2373" priority="1369" stopIfTrue="1" operator="equal">
      <formula>$A$43</formula>
    </cfRule>
  </conditionalFormatting>
  <conditionalFormatting sqref="AU18">
    <cfRule type="cellIs" dxfId="2372" priority="1368" stopIfTrue="1" operator="equal">
      <formula>$A$43</formula>
    </cfRule>
  </conditionalFormatting>
  <conditionalFormatting sqref="AW18">
    <cfRule type="cellIs" dxfId="2371" priority="1367" stopIfTrue="1" operator="equal">
      <formula>$A$43</formula>
    </cfRule>
  </conditionalFormatting>
  <conditionalFormatting sqref="AW18">
    <cfRule type="cellIs" dxfId="2370" priority="1366" stopIfTrue="1" operator="equal">
      <formula>$A$43</formula>
    </cfRule>
  </conditionalFormatting>
  <conditionalFormatting sqref="AW18">
    <cfRule type="cellIs" dxfId="2369" priority="1365" stopIfTrue="1" operator="equal">
      <formula>$A$43</formula>
    </cfRule>
  </conditionalFormatting>
  <conditionalFormatting sqref="AW18">
    <cfRule type="cellIs" dxfId="2368" priority="1364" stopIfTrue="1" operator="equal">
      <formula>$A$43</formula>
    </cfRule>
  </conditionalFormatting>
  <conditionalFormatting sqref="AW18">
    <cfRule type="cellIs" dxfId="2367" priority="1363" stopIfTrue="1" operator="equal">
      <formula>$A$43</formula>
    </cfRule>
  </conditionalFormatting>
  <conditionalFormatting sqref="AW18">
    <cfRule type="cellIs" dxfId="2366" priority="1362" stopIfTrue="1" operator="equal">
      <formula>$A$43</formula>
    </cfRule>
  </conditionalFormatting>
  <conditionalFormatting sqref="AW18">
    <cfRule type="cellIs" dxfId="2365" priority="1361" stopIfTrue="1" operator="equal">
      <formula>$A$43</formula>
    </cfRule>
  </conditionalFormatting>
  <conditionalFormatting sqref="AW18">
    <cfRule type="cellIs" dxfId="2364" priority="1360" stopIfTrue="1" operator="equal">
      <formula>$A$43</formula>
    </cfRule>
  </conditionalFormatting>
  <conditionalFormatting sqref="AW18">
    <cfRule type="cellIs" dxfId="2363" priority="1359" stopIfTrue="1" operator="equal">
      <formula>$A$43</formula>
    </cfRule>
  </conditionalFormatting>
  <conditionalFormatting sqref="AW18">
    <cfRule type="cellIs" dxfId="2362" priority="1358" stopIfTrue="1" operator="equal">
      <formula>$A$43</formula>
    </cfRule>
  </conditionalFormatting>
  <conditionalFormatting sqref="AW18">
    <cfRule type="cellIs" dxfId="2361" priority="1357" stopIfTrue="1" operator="equal">
      <formula>$A$43</formula>
    </cfRule>
  </conditionalFormatting>
  <conditionalFormatting sqref="AW18">
    <cfRule type="cellIs" dxfId="2360" priority="1356" stopIfTrue="1" operator="equal">
      <formula>$A$43</formula>
    </cfRule>
  </conditionalFormatting>
  <conditionalFormatting sqref="AW18">
    <cfRule type="cellIs" dxfId="2359" priority="1355" stopIfTrue="1" operator="equal">
      <formula>$A$43</formula>
    </cfRule>
  </conditionalFormatting>
  <conditionalFormatting sqref="AW18">
    <cfRule type="cellIs" dxfId="2358" priority="1354" stopIfTrue="1" operator="equal">
      <formula>$A$43</formula>
    </cfRule>
  </conditionalFormatting>
  <conditionalFormatting sqref="AU19">
    <cfRule type="cellIs" dxfId="2357" priority="1353" stopIfTrue="1" operator="equal">
      <formula>$A$42</formula>
    </cfRule>
  </conditionalFormatting>
  <conditionalFormatting sqref="AU19">
    <cfRule type="cellIs" dxfId="2356" priority="1352" stopIfTrue="1" operator="equal">
      <formula>$A$43</formula>
    </cfRule>
  </conditionalFormatting>
  <conditionalFormatting sqref="AU19">
    <cfRule type="cellIs" dxfId="2355" priority="1351" stopIfTrue="1" operator="equal">
      <formula>$A$42</formula>
    </cfRule>
  </conditionalFormatting>
  <conditionalFormatting sqref="AU19">
    <cfRule type="cellIs" dxfId="2354" priority="1350" stopIfTrue="1" operator="equal">
      <formula>$A$43</formula>
    </cfRule>
  </conditionalFormatting>
  <conditionalFormatting sqref="AU19">
    <cfRule type="cellIs" dxfId="2353" priority="1349" stopIfTrue="1" operator="equal">
      <formula>$A$42</formula>
    </cfRule>
  </conditionalFormatting>
  <conditionalFormatting sqref="AU19">
    <cfRule type="cellIs" dxfId="2352" priority="1348" stopIfTrue="1" operator="equal">
      <formula>$A$43</formula>
    </cfRule>
  </conditionalFormatting>
  <conditionalFormatting sqref="AU19">
    <cfRule type="cellIs" dxfId="2351" priority="1347" stopIfTrue="1" operator="equal">
      <formula>$A$42</formula>
    </cfRule>
  </conditionalFormatting>
  <conditionalFormatting sqref="AU19">
    <cfRule type="cellIs" dxfId="2350" priority="1346" stopIfTrue="1" operator="equal">
      <formula>$A$43</formula>
    </cfRule>
  </conditionalFormatting>
  <conditionalFormatting sqref="AU19">
    <cfRule type="cellIs" dxfId="2349" priority="1345" stopIfTrue="1" operator="equal">
      <formula>$A$42</formula>
    </cfRule>
  </conditionalFormatting>
  <conditionalFormatting sqref="AU19">
    <cfRule type="cellIs" dxfId="2348" priority="1344" stopIfTrue="1" operator="equal">
      <formula>$A$43</formula>
    </cfRule>
  </conditionalFormatting>
  <conditionalFormatting sqref="AU19">
    <cfRule type="cellIs" dxfId="2347" priority="1343" stopIfTrue="1" operator="equal">
      <formula>$A$42</formula>
    </cfRule>
  </conditionalFormatting>
  <conditionalFormatting sqref="AU19">
    <cfRule type="cellIs" dxfId="2346" priority="1342" stopIfTrue="1" operator="equal">
      <formula>$A$43</formula>
    </cfRule>
  </conditionalFormatting>
  <conditionalFormatting sqref="AU19">
    <cfRule type="cellIs" dxfId="2345" priority="1341" stopIfTrue="1" operator="equal">
      <formula>$A$42</formula>
    </cfRule>
  </conditionalFormatting>
  <conditionalFormatting sqref="AU19">
    <cfRule type="cellIs" dxfId="2344" priority="1340" stopIfTrue="1" operator="equal">
      <formula>$A$43</formula>
    </cfRule>
  </conditionalFormatting>
  <conditionalFormatting sqref="AU19">
    <cfRule type="cellIs" dxfId="2343" priority="1339" stopIfTrue="1" operator="equal">
      <formula>$A$42</formula>
    </cfRule>
  </conditionalFormatting>
  <conditionalFormatting sqref="AU19">
    <cfRule type="cellIs" dxfId="2342" priority="1338" stopIfTrue="1" operator="equal">
      <formula>$A$43</formula>
    </cfRule>
  </conditionalFormatting>
  <conditionalFormatting sqref="AU19">
    <cfRule type="cellIs" dxfId="2341" priority="1337" stopIfTrue="1" operator="equal">
      <formula>$A$42</formula>
    </cfRule>
  </conditionalFormatting>
  <conditionalFormatting sqref="AU19">
    <cfRule type="cellIs" dxfId="2340" priority="1336" stopIfTrue="1" operator="equal">
      <formula>$A$43</formula>
    </cfRule>
  </conditionalFormatting>
  <conditionalFormatting sqref="AU19">
    <cfRule type="cellIs" dxfId="2339" priority="1335" stopIfTrue="1" operator="equal">
      <formula>$A$42</formula>
    </cfRule>
  </conditionalFormatting>
  <conditionalFormatting sqref="AU19">
    <cfRule type="cellIs" dxfId="2338" priority="1334" stopIfTrue="1" operator="equal">
      <formula>$A$43</formula>
    </cfRule>
  </conditionalFormatting>
  <conditionalFormatting sqref="AU19">
    <cfRule type="cellIs" dxfId="2337" priority="1333" stopIfTrue="1" operator="equal">
      <formula>$A$42</formula>
    </cfRule>
  </conditionalFormatting>
  <conditionalFormatting sqref="AU19">
    <cfRule type="cellIs" dxfId="2336" priority="1332" stopIfTrue="1" operator="equal">
      <formula>$A$43</formula>
    </cfRule>
  </conditionalFormatting>
  <conditionalFormatting sqref="AU19">
    <cfRule type="cellIs" dxfId="2335" priority="1331" stopIfTrue="1" operator="equal">
      <formula>$A$42</formula>
    </cfRule>
  </conditionalFormatting>
  <conditionalFormatting sqref="AU19">
    <cfRule type="cellIs" dxfId="2334" priority="1330" stopIfTrue="1" operator="equal">
      <formula>$A$43</formula>
    </cfRule>
  </conditionalFormatting>
  <conditionalFormatting sqref="AU19">
    <cfRule type="cellIs" dxfId="2333" priority="1329" stopIfTrue="1" operator="equal">
      <formula>$A$42</formula>
    </cfRule>
  </conditionalFormatting>
  <conditionalFormatting sqref="AU19">
    <cfRule type="cellIs" dxfId="2332" priority="1328" stopIfTrue="1" operator="equal">
      <formula>$A$43</formula>
    </cfRule>
  </conditionalFormatting>
  <conditionalFormatting sqref="AU19">
    <cfRule type="cellIs" dxfId="2331" priority="1327" stopIfTrue="1" operator="equal">
      <formula>$A$42</formula>
    </cfRule>
  </conditionalFormatting>
  <conditionalFormatting sqref="AU19">
    <cfRule type="cellIs" dxfId="2330" priority="1326" stopIfTrue="1" operator="equal">
      <formula>$A$43</formula>
    </cfRule>
  </conditionalFormatting>
  <conditionalFormatting sqref="AU19">
    <cfRule type="cellIs" dxfId="2329" priority="1325" stopIfTrue="1" operator="equal">
      <formula>$A$42</formula>
    </cfRule>
  </conditionalFormatting>
  <conditionalFormatting sqref="AW19">
    <cfRule type="cellIs" dxfId="2328" priority="1324" stopIfTrue="1" operator="equal">
      <formula>$A$42</formula>
    </cfRule>
  </conditionalFormatting>
  <conditionalFormatting sqref="AW19">
    <cfRule type="cellIs" dxfId="2327" priority="1323" stopIfTrue="1" operator="equal">
      <formula>$A$43</formula>
    </cfRule>
  </conditionalFormatting>
  <conditionalFormatting sqref="AW19">
    <cfRule type="cellIs" dxfId="2326" priority="1322" stopIfTrue="1" operator="equal">
      <formula>$A$42</formula>
    </cfRule>
  </conditionalFormatting>
  <conditionalFormatting sqref="AW19">
    <cfRule type="cellIs" dxfId="2325" priority="1321" stopIfTrue="1" operator="equal">
      <formula>$A$43</formula>
    </cfRule>
  </conditionalFormatting>
  <conditionalFormatting sqref="AW19">
    <cfRule type="cellIs" dxfId="2324" priority="1320" stopIfTrue="1" operator="equal">
      <formula>$A$42</formula>
    </cfRule>
  </conditionalFormatting>
  <conditionalFormatting sqref="AW19">
    <cfRule type="cellIs" dxfId="2323" priority="1319" stopIfTrue="1" operator="equal">
      <formula>$A$43</formula>
    </cfRule>
  </conditionalFormatting>
  <conditionalFormatting sqref="AW19">
    <cfRule type="cellIs" dxfId="2322" priority="1318" stopIfTrue="1" operator="equal">
      <formula>$A$42</formula>
    </cfRule>
  </conditionalFormatting>
  <conditionalFormatting sqref="AW19">
    <cfRule type="cellIs" dxfId="2321" priority="1317" stopIfTrue="1" operator="equal">
      <formula>$A$43</formula>
    </cfRule>
  </conditionalFormatting>
  <conditionalFormatting sqref="AW19">
    <cfRule type="cellIs" dxfId="2320" priority="1316" stopIfTrue="1" operator="equal">
      <formula>$A$42</formula>
    </cfRule>
  </conditionalFormatting>
  <conditionalFormatting sqref="AW19">
    <cfRule type="cellIs" dxfId="2319" priority="1315" stopIfTrue="1" operator="equal">
      <formula>$A$43</formula>
    </cfRule>
  </conditionalFormatting>
  <conditionalFormatting sqref="AW19">
    <cfRule type="cellIs" dxfId="2318" priority="1314" stopIfTrue="1" operator="equal">
      <formula>$A$42</formula>
    </cfRule>
  </conditionalFormatting>
  <conditionalFormatting sqref="AW19">
    <cfRule type="cellIs" dxfId="2317" priority="1313" stopIfTrue="1" operator="equal">
      <formula>$A$43</formula>
    </cfRule>
  </conditionalFormatting>
  <conditionalFormatting sqref="AW19">
    <cfRule type="cellIs" dxfId="2316" priority="1312" stopIfTrue="1" operator="equal">
      <formula>$A$42</formula>
    </cfRule>
  </conditionalFormatting>
  <conditionalFormatting sqref="AW19">
    <cfRule type="cellIs" dxfId="2315" priority="1311" stopIfTrue="1" operator="equal">
      <formula>$A$43</formula>
    </cfRule>
  </conditionalFormatting>
  <conditionalFormatting sqref="AW19">
    <cfRule type="cellIs" dxfId="2314" priority="1310" stopIfTrue="1" operator="equal">
      <formula>$A$42</formula>
    </cfRule>
  </conditionalFormatting>
  <conditionalFormatting sqref="AW19">
    <cfRule type="cellIs" dxfId="2313" priority="1309" stopIfTrue="1" operator="equal">
      <formula>$A$43</formula>
    </cfRule>
  </conditionalFormatting>
  <conditionalFormatting sqref="AW19">
    <cfRule type="cellIs" dxfId="2312" priority="1308" stopIfTrue="1" operator="equal">
      <formula>$A$42</formula>
    </cfRule>
  </conditionalFormatting>
  <conditionalFormatting sqref="AW19">
    <cfRule type="cellIs" dxfId="2311" priority="1307" stopIfTrue="1" operator="equal">
      <formula>$A$43</formula>
    </cfRule>
  </conditionalFormatting>
  <conditionalFormatting sqref="AW19">
    <cfRule type="cellIs" dxfId="2310" priority="1306" stopIfTrue="1" operator="equal">
      <formula>$A$42</formula>
    </cfRule>
  </conditionalFormatting>
  <conditionalFormatting sqref="AW19">
    <cfRule type="cellIs" dxfId="2309" priority="1305" stopIfTrue="1" operator="equal">
      <formula>$A$43</formula>
    </cfRule>
  </conditionalFormatting>
  <conditionalFormatting sqref="AW19">
    <cfRule type="cellIs" dxfId="2308" priority="1304" stopIfTrue="1" operator="equal">
      <formula>$A$42</formula>
    </cfRule>
  </conditionalFormatting>
  <conditionalFormatting sqref="AW19">
    <cfRule type="cellIs" dxfId="2307" priority="1303" stopIfTrue="1" operator="equal">
      <formula>$A$43</formula>
    </cfRule>
  </conditionalFormatting>
  <conditionalFormatting sqref="AW19">
    <cfRule type="cellIs" dxfId="2306" priority="1302" stopIfTrue="1" operator="equal">
      <formula>$A$42</formula>
    </cfRule>
  </conditionalFormatting>
  <conditionalFormatting sqref="AW19">
    <cfRule type="cellIs" dxfId="2305" priority="1301" stopIfTrue="1" operator="equal">
      <formula>$A$43</formula>
    </cfRule>
  </conditionalFormatting>
  <conditionalFormatting sqref="AW19">
    <cfRule type="cellIs" dxfId="2304" priority="1300" stopIfTrue="1" operator="equal">
      <formula>$A$42</formula>
    </cfRule>
  </conditionalFormatting>
  <conditionalFormatting sqref="AW19">
    <cfRule type="cellIs" dxfId="2303" priority="1299" stopIfTrue="1" operator="equal">
      <formula>$A$43</formula>
    </cfRule>
  </conditionalFormatting>
  <conditionalFormatting sqref="AW19">
    <cfRule type="cellIs" dxfId="2302" priority="1298" stopIfTrue="1" operator="equal">
      <formula>$A$42</formula>
    </cfRule>
  </conditionalFormatting>
  <conditionalFormatting sqref="AW19">
    <cfRule type="cellIs" dxfId="2301" priority="1297" stopIfTrue="1" operator="equal">
      <formula>$A$43</formula>
    </cfRule>
  </conditionalFormatting>
  <conditionalFormatting sqref="AW19">
    <cfRule type="cellIs" dxfId="2300" priority="1296" stopIfTrue="1" operator="equal">
      <formula>$A$42</formula>
    </cfRule>
  </conditionalFormatting>
  <conditionalFormatting sqref="AU20">
    <cfRule type="cellIs" dxfId="2299" priority="1295" stopIfTrue="1" operator="equal">
      <formula>$A$43</formula>
    </cfRule>
  </conditionalFormatting>
  <conditionalFormatting sqref="AU20">
    <cfRule type="cellIs" dxfId="2298" priority="1294" stopIfTrue="1" operator="equal">
      <formula>$A$43</formula>
    </cfRule>
  </conditionalFormatting>
  <conditionalFormatting sqref="AU20">
    <cfRule type="cellIs" dxfId="2297" priority="1293" stopIfTrue="1" operator="equal">
      <formula>$A$43</formula>
    </cfRule>
  </conditionalFormatting>
  <conditionalFormatting sqref="AU20">
    <cfRule type="cellIs" dxfId="2296" priority="1292" stopIfTrue="1" operator="equal">
      <formula>$A$43</formula>
    </cfRule>
  </conditionalFormatting>
  <conditionalFormatting sqref="AU20">
    <cfRule type="cellIs" dxfId="2295" priority="1291" stopIfTrue="1" operator="equal">
      <formula>$A$43</formula>
    </cfRule>
  </conditionalFormatting>
  <conditionalFormatting sqref="AU20">
    <cfRule type="cellIs" dxfId="2294" priority="1290" stopIfTrue="1" operator="equal">
      <formula>$A$43</formula>
    </cfRule>
  </conditionalFormatting>
  <conditionalFormatting sqref="AU20">
    <cfRule type="cellIs" dxfId="2293" priority="1289" stopIfTrue="1" operator="equal">
      <formula>$A$43</formula>
    </cfRule>
  </conditionalFormatting>
  <conditionalFormatting sqref="AU20">
    <cfRule type="cellIs" dxfId="2292" priority="1288" stopIfTrue="1" operator="equal">
      <formula>$A$43</formula>
    </cfRule>
  </conditionalFormatting>
  <conditionalFormatting sqref="AU20">
    <cfRule type="cellIs" dxfId="2291" priority="1287" stopIfTrue="1" operator="equal">
      <formula>$A$43</formula>
    </cfRule>
  </conditionalFormatting>
  <conditionalFormatting sqref="AU20">
    <cfRule type="cellIs" dxfId="2290" priority="1286" stopIfTrue="1" operator="equal">
      <formula>$A$43</formula>
    </cfRule>
  </conditionalFormatting>
  <conditionalFormatting sqref="AU20">
    <cfRule type="cellIs" dxfId="2289" priority="1285" stopIfTrue="1" operator="equal">
      <formula>$A$43</formula>
    </cfRule>
  </conditionalFormatting>
  <conditionalFormatting sqref="AU20">
    <cfRule type="cellIs" dxfId="2288" priority="1284" stopIfTrue="1" operator="equal">
      <formula>$A$43</formula>
    </cfRule>
  </conditionalFormatting>
  <conditionalFormatting sqref="AU20">
    <cfRule type="cellIs" dxfId="2287" priority="1283" stopIfTrue="1" operator="equal">
      <formula>$A$43</formula>
    </cfRule>
  </conditionalFormatting>
  <conditionalFormatting sqref="AU20">
    <cfRule type="cellIs" dxfId="2286" priority="1282" stopIfTrue="1" operator="equal">
      <formula>$A$43</formula>
    </cfRule>
  </conditionalFormatting>
  <conditionalFormatting sqref="AW20">
    <cfRule type="cellIs" dxfId="2285" priority="1281" stopIfTrue="1" operator="equal">
      <formula>$A$43</formula>
    </cfRule>
  </conditionalFormatting>
  <conditionalFormatting sqref="AW20">
    <cfRule type="cellIs" dxfId="2284" priority="1280" stopIfTrue="1" operator="equal">
      <formula>$A$43</formula>
    </cfRule>
  </conditionalFormatting>
  <conditionalFormatting sqref="AW20">
    <cfRule type="cellIs" dxfId="2283" priority="1279" stopIfTrue="1" operator="equal">
      <formula>$A$43</formula>
    </cfRule>
  </conditionalFormatting>
  <conditionalFormatting sqref="AW20">
    <cfRule type="cellIs" dxfId="2282" priority="1278" stopIfTrue="1" operator="equal">
      <formula>$A$43</formula>
    </cfRule>
  </conditionalFormatting>
  <conditionalFormatting sqref="AW20">
    <cfRule type="cellIs" dxfId="2281" priority="1277" stopIfTrue="1" operator="equal">
      <formula>$A$43</formula>
    </cfRule>
  </conditionalFormatting>
  <conditionalFormatting sqref="AW20">
    <cfRule type="cellIs" dxfId="2280" priority="1276" stopIfTrue="1" operator="equal">
      <formula>$A$43</formula>
    </cfRule>
  </conditionalFormatting>
  <conditionalFormatting sqref="AW20">
    <cfRule type="cellIs" dxfId="2279" priority="1275" stopIfTrue="1" operator="equal">
      <formula>$A$43</formula>
    </cfRule>
  </conditionalFormatting>
  <conditionalFormatting sqref="AW20">
    <cfRule type="cellIs" dxfId="2278" priority="1274" stopIfTrue="1" operator="equal">
      <formula>$A$43</formula>
    </cfRule>
  </conditionalFormatting>
  <conditionalFormatting sqref="AW20">
    <cfRule type="cellIs" dxfId="2277" priority="1273" stopIfTrue="1" operator="equal">
      <formula>$A$43</formula>
    </cfRule>
  </conditionalFormatting>
  <conditionalFormatting sqref="AW20">
    <cfRule type="cellIs" dxfId="2276" priority="1272" stopIfTrue="1" operator="equal">
      <formula>$A$43</formula>
    </cfRule>
  </conditionalFormatting>
  <conditionalFormatting sqref="AW20">
    <cfRule type="cellIs" dxfId="2275" priority="1271" stopIfTrue="1" operator="equal">
      <formula>$A$43</formula>
    </cfRule>
  </conditionalFormatting>
  <conditionalFormatting sqref="AW20">
    <cfRule type="cellIs" dxfId="2274" priority="1270" stopIfTrue="1" operator="equal">
      <formula>$A$43</formula>
    </cfRule>
  </conditionalFormatting>
  <conditionalFormatting sqref="AW20">
    <cfRule type="cellIs" dxfId="2273" priority="1269" stopIfTrue="1" operator="equal">
      <formula>$A$43</formula>
    </cfRule>
  </conditionalFormatting>
  <conditionalFormatting sqref="AW20">
    <cfRule type="cellIs" dxfId="2272" priority="1268" stopIfTrue="1" operator="equal">
      <formula>$A$43</formula>
    </cfRule>
  </conditionalFormatting>
  <conditionalFormatting sqref="AU21">
    <cfRule type="cellIs" dxfId="2271" priority="1267" stopIfTrue="1" operator="equal">
      <formula>$A$43</formula>
    </cfRule>
  </conditionalFormatting>
  <conditionalFormatting sqref="AU21">
    <cfRule type="cellIs" dxfId="2270" priority="1266" stopIfTrue="1" operator="equal">
      <formula>$A$43</formula>
    </cfRule>
  </conditionalFormatting>
  <conditionalFormatting sqref="AU21">
    <cfRule type="cellIs" dxfId="2269" priority="1265" stopIfTrue="1" operator="equal">
      <formula>$A$43</formula>
    </cfRule>
  </conditionalFormatting>
  <conditionalFormatting sqref="AU21">
    <cfRule type="cellIs" dxfId="2268" priority="1264" stopIfTrue="1" operator="equal">
      <formula>$A$43</formula>
    </cfRule>
  </conditionalFormatting>
  <conditionalFormatting sqref="AU21">
    <cfRule type="cellIs" dxfId="2267" priority="1263" stopIfTrue="1" operator="equal">
      <formula>$A$43</formula>
    </cfRule>
  </conditionalFormatting>
  <conditionalFormatting sqref="AU21">
    <cfRule type="cellIs" dxfId="2266" priority="1262" stopIfTrue="1" operator="equal">
      <formula>$A$43</formula>
    </cfRule>
  </conditionalFormatting>
  <conditionalFormatting sqref="AU21">
    <cfRule type="cellIs" dxfId="2265" priority="1261" stopIfTrue="1" operator="equal">
      <formula>$A$43</formula>
    </cfRule>
  </conditionalFormatting>
  <conditionalFormatting sqref="AU21">
    <cfRule type="cellIs" dxfId="2264" priority="1260" stopIfTrue="1" operator="equal">
      <formula>$A$43</formula>
    </cfRule>
  </conditionalFormatting>
  <conditionalFormatting sqref="AU21">
    <cfRule type="cellIs" dxfId="2263" priority="1259" stopIfTrue="1" operator="equal">
      <formula>$A$43</formula>
    </cfRule>
  </conditionalFormatting>
  <conditionalFormatting sqref="AU21">
    <cfRule type="cellIs" dxfId="2262" priority="1258" stopIfTrue="1" operator="equal">
      <formula>$A$43</formula>
    </cfRule>
  </conditionalFormatting>
  <conditionalFormatting sqref="AU21">
    <cfRule type="cellIs" dxfId="2261" priority="1257" stopIfTrue="1" operator="equal">
      <formula>$A$43</formula>
    </cfRule>
  </conditionalFormatting>
  <conditionalFormatting sqref="AU21">
    <cfRule type="cellIs" dxfId="2260" priority="1256" stopIfTrue="1" operator="equal">
      <formula>$A$43</formula>
    </cfRule>
  </conditionalFormatting>
  <conditionalFormatting sqref="AU21">
    <cfRule type="cellIs" dxfId="2259" priority="1255" stopIfTrue="1" operator="equal">
      <formula>$A$43</formula>
    </cfRule>
  </conditionalFormatting>
  <conditionalFormatting sqref="AU21">
    <cfRule type="cellIs" dxfId="2258" priority="1254" stopIfTrue="1" operator="equal">
      <formula>$A$43</formula>
    </cfRule>
  </conditionalFormatting>
  <conditionalFormatting sqref="AW21">
    <cfRule type="cellIs" dxfId="2257" priority="1253" stopIfTrue="1" operator="equal">
      <formula>$A$43</formula>
    </cfRule>
  </conditionalFormatting>
  <conditionalFormatting sqref="AW21">
    <cfRule type="cellIs" dxfId="2256" priority="1252" stopIfTrue="1" operator="equal">
      <formula>$A$43</formula>
    </cfRule>
  </conditionalFormatting>
  <conditionalFormatting sqref="AW21">
    <cfRule type="cellIs" dxfId="2255" priority="1251" stopIfTrue="1" operator="equal">
      <formula>$A$43</formula>
    </cfRule>
  </conditionalFormatting>
  <conditionalFormatting sqref="AW21">
    <cfRule type="cellIs" dxfId="2254" priority="1250" stopIfTrue="1" operator="equal">
      <formula>$A$43</formula>
    </cfRule>
  </conditionalFormatting>
  <conditionalFormatting sqref="AW21">
    <cfRule type="cellIs" dxfId="2253" priority="1249" stopIfTrue="1" operator="equal">
      <formula>$A$43</formula>
    </cfRule>
  </conditionalFormatting>
  <conditionalFormatting sqref="AW21">
    <cfRule type="cellIs" dxfId="2252" priority="1248" stopIfTrue="1" operator="equal">
      <formula>$A$43</formula>
    </cfRule>
  </conditionalFormatting>
  <conditionalFormatting sqref="AW21">
    <cfRule type="cellIs" dxfId="2251" priority="1247" stopIfTrue="1" operator="equal">
      <formula>$A$43</formula>
    </cfRule>
  </conditionalFormatting>
  <conditionalFormatting sqref="AW21">
    <cfRule type="cellIs" dxfId="2250" priority="1246" stopIfTrue="1" operator="equal">
      <formula>$A$43</formula>
    </cfRule>
  </conditionalFormatting>
  <conditionalFormatting sqref="AW21">
    <cfRule type="cellIs" dxfId="2249" priority="1245" stopIfTrue="1" operator="equal">
      <formula>$A$43</formula>
    </cfRule>
  </conditionalFormatting>
  <conditionalFormatting sqref="AW21">
    <cfRule type="cellIs" dxfId="2248" priority="1244" stopIfTrue="1" operator="equal">
      <formula>$A$43</formula>
    </cfRule>
  </conditionalFormatting>
  <conditionalFormatting sqref="AW21">
    <cfRule type="cellIs" dxfId="2247" priority="1243" stopIfTrue="1" operator="equal">
      <formula>$A$43</formula>
    </cfRule>
  </conditionalFormatting>
  <conditionalFormatting sqref="AW21">
    <cfRule type="cellIs" dxfId="2246" priority="1242" stopIfTrue="1" operator="equal">
      <formula>$A$43</formula>
    </cfRule>
  </conditionalFormatting>
  <conditionalFormatting sqref="AW21">
    <cfRule type="cellIs" dxfId="2245" priority="1241" stopIfTrue="1" operator="equal">
      <formula>$A$43</formula>
    </cfRule>
  </conditionalFormatting>
  <conditionalFormatting sqref="AW21">
    <cfRule type="cellIs" dxfId="2244" priority="1240" stopIfTrue="1" operator="equal">
      <formula>$A$43</formula>
    </cfRule>
  </conditionalFormatting>
  <conditionalFormatting sqref="AU25">
    <cfRule type="cellIs" dxfId="2243" priority="917" stopIfTrue="1" operator="equal">
      <formula>$A$43</formula>
    </cfRule>
  </conditionalFormatting>
  <conditionalFormatting sqref="AU25">
    <cfRule type="cellIs" dxfId="2242" priority="916" stopIfTrue="1" operator="equal">
      <formula>$A$43</formula>
    </cfRule>
  </conditionalFormatting>
  <conditionalFormatting sqref="AU25">
    <cfRule type="cellIs" dxfId="2241" priority="915" stopIfTrue="1" operator="equal">
      <formula>$A$43</formula>
    </cfRule>
  </conditionalFormatting>
  <conditionalFormatting sqref="AU25">
    <cfRule type="cellIs" dxfId="2240" priority="914" stopIfTrue="1" operator="equal">
      <formula>$A$43</formula>
    </cfRule>
  </conditionalFormatting>
  <conditionalFormatting sqref="AU25">
    <cfRule type="cellIs" dxfId="2239" priority="913" stopIfTrue="1" operator="equal">
      <formula>$A$43</formula>
    </cfRule>
  </conditionalFormatting>
  <conditionalFormatting sqref="AU25">
    <cfRule type="cellIs" dxfId="2238" priority="912" stopIfTrue="1" operator="equal">
      <formula>$A$43</formula>
    </cfRule>
  </conditionalFormatting>
  <conditionalFormatting sqref="AU25">
    <cfRule type="cellIs" dxfId="2237" priority="911" stopIfTrue="1" operator="equal">
      <formula>$A$43</formula>
    </cfRule>
  </conditionalFormatting>
  <conditionalFormatting sqref="AU25">
    <cfRule type="cellIs" dxfId="2236" priority="910" stopIfTrue="1" operator="equal">
      <formula>$A$43</formula>
    </cfRule>
  </conditionalFormatting>
  <conditionalFormatting sqref="AU25">
    <cfRule type="cellIs" dxfId="2235" priority="909" stopIfTrue="1" operator="equal">
      <formula>$A$43</formula>
    </cfRule>
  </conditionalFormatting>
  <conditionalFormatting sqref="AU25">
    <cfRule type="cellIs" dxfId="2234" priority="908" stopIfTrue="1" operator="equal">
      <formula>$A$43</formula>
    </cfRule>
  </conditionalFormatting>
  <conditionalFormatting sqref="AU25">
    <cfRule type="cellIs" dxfId="2233" priority="907" stopIfTrue="1" operator="equal">
      <formula>$A$43</formula>
    </cfRule>
  </conditionalFormatting>
  <conditionalFormatting sqref="AU25">
    <cfRule type="cellIs" dxfId="2232" priority="906" stopIfTrue="1" operator="equal">
      <formula>$A$43</formula>
    </cfRule>
  </conditionalFormatting>
  <conditionalFormatting sqref="AW25">
    <cfRule type="cellIs" dxfId="2231" priority="905" stopIfTrue="1" operator="equal">
      <formula>$A$43</formula>
    </cfRule>
  </conditionalFormatting>
  <conditionalFormatting sqref="AW25">
    <cfRule type="cellIs" dxfId="2230" priority="904" stopIfTrue="1" operator="equal">
      <formula>$A$43</formula>
    </cfRule>
  </conditionalFormatting>
  <conditionalFormatting sqref="AW25">
    <cfRule type="cellIs" dxfId="2229" priority="903" stopIfTrue="1" operator="equal">
      <formula>$A$43</formula>
    </cfRule>
  </conditionalFormatting>
  <conditionalFormatting sqref="AW25">
    <cfRule type="cellIs" dxfId="2228" priority="902" stopIfTrue="1" operator="equal">
      <formula>$A$43</formula>
    </cfRule>
  </conditionalFormatting>
  <conditionalFormatting sqref="AW25">
    <cfRule type="cellIs" dxfId="2227" priority="901" stopIfTrue="1" operator="equal">
      <formula>$A$43</formula>
    </cfRule>
  </conditionalFormatting>
  <conditionalFormatting sqref="AW25">
    <cfRule type="cellIs" dxfId="2226" priority="900" stopIfTrue="1" operator="equal">
      <formula>$A$43</formula>
    </cfRule>
  </conditionalFormatting>
  <conditionalFormatting sqref="AW25">
    <cfRule type="cellIs" dxfId="2225" priority="899" stopIfTrue="1" operator="equal">
      <formula>$A$43</formula>
    </cfRule>
  </conditionalFormatting>
  <conditionalFormatting sqref="AW25">
    <cfRule type="cellIs" dxfId="2224" priority="898" stopIfTrue="1" operator="equal">
      <formula>$A$43</formula>
    </cfRule>
  </conditionalFormatting>
  <conditionalFormatting sqref="AW25">
    <cfRule type="cellIs" dxfId="2223" priority="897" stopIfTrue="1" operator="equal">
      <formula>$A$43</formula>
    </cfRule>
  </conditionalFormatting>
  <conditionalFormatting sqref="AW25">
    <cfRule type="cellIs" dxfId="2222" priority="896" stopIfTrue="1" operator="equal">
      <formula>$A$43</formula>
    </cfRule>
  </conditionalFormatting>
  <conditionalFormatting sqref="AW25">
    <cfRule type="cellIs" dxfId="2221" priority="895" stopIfTrue="1" operator="equal">
      <formula>$A$43</formula>
    </cfRule>
  </conditionalFormatting>
  <conditionalFormatting sqref="AW25">
    <cfRule type="cellIs" dxfId="2220" priority="894" stopIfTrue="1" operator="equal">
      <formula>$A$43</formula>
    </cfRule>
  </conditionalFormatting>
  <conditionalFormatting sqref="AU28">
    <cfRule type="cellIs" dxfId="2219" priority="797" stopIfTrue="1" operator="equal">
      <formula>$A$43</formula>
    </cfRule>
  </conditionalFormatting>
  <conditionalFormatting sqref="AU28">
    <cfRule type="cellIs" dxfId="2218" priority="796" stopIfTrue="1" operator="equal">
      <formula>$A$43</formula>
    </cfRule>
  </conditionalFormatting>
  <conditionalFormatting sqref="AU28">
    <cfRule type="cellIs" dxfId="2217" priority="795" stopIfTrue="1" operator="equal">
      <formula>$A$43</formula>
    </cfRule>
  </conditionalFormatting>
  <conditionalFormatting sqref="AU28">
    <cfRule type="cellIs" dxfId="2216" priority="794" stopIfTrue="1" operator="equal">
      <formula>$A$43</formula>
    </cfRule>
  </conditionalFormatting>
  <conditionalFormatting sqref="AU28">
    <cfRule type="cellIs" dxfId="2215" priority="793" stopIfTrue="1" operator="equal">
      <formula>$A$43</formula>
    </cfRule>
  </conditionalFormatting>
  <conditionalFormatting sqref="AU28">
    <cfRule type="cellIs" dxfId="2214" priority="792" stopIfTrue="1" operator="equal">
      <formula>$A$43</formula>
    </cfRule>
  </conditionalFormatting>
  <conditionalFormatting sqref="AU28">
    <cfRule type="cellIs" dxfId="2213" priority="791" stopIfTrue="1" operator="equal">
      <formula>$A$43</formula>
    </cfRule>
  </conditionalFormatting>
  <conditionalFormatting sqref="AU28">
    <cfRule type="cellIs" dxfId="2212" priority="790" stopIfTrue="1" operator="equal">
      <formula>$A$43</formula>
    </cfRule>
  </conditionalFormatting>
  <conditionalFormatting sqref="AU28">
    <cfRule type="cellIs" dxfId="2211" priority="789" stopIfTrue="1" operator="equal">
      <formula>$A$43</formula>
    </cfRule>
  </conditionalFormatting>
  <conditionalFormatting sqref="AU28">
    <cfRule type="cellIs" dxfId="2210" priority="788" stopIfTrue="1" operator="equal">
      <formula>$A$43</formula>
    </cfRule>
  </conditionalFormatting>
  <conditionalFormatting sqref="AU28">
    <cfRule type="cellIs" dxfId="2209" priority="787" stopIfTrue="1" operator="equal">
      <formula>$A$43</formula>
    </cfRule>
  </conditionalFormatting>
  <conditionalFormatting sqref="AU28">
    <cfRule type="cellIs" dxfId="2208" priority="786" stopIfTrue="1" operator="equal">
      <formula>$A$43</formula>
    </cfRule>
  </conditionalFormatting>
  <conditionalFormatting sqref="AW28">
    <cfRule type="cellIs" dxfId="2207" priority="785" stopIfTrue="1" operator="equal">
      <formula>$A$43</formula>
    </cfRule>
  </conditionalFormatting>
  <conditionalFormatting sqref="AW28">
    <cfRule type="cellIs" dxfId="2206" priority="784" stopIfTrue="1" operator="equal">
      <formula>$A$43</formula>
    </cfRule>
  </conditionalFormatting>
  <conditionalFormatting sqref="AW28">
    <cfRule type="cellIs" dxfId="2205" priority="783" stopIfTrue="1" operator="equal">
      <formula>$A$43</formula>
    </cfRule>
  </conditionalFormatting>
  <conditionalFormatting sqref="AW28">
    <cfRule type="cellIs" dxfId="2204" priority="782" stopIfTrue="1" operator="equal">
      <formula>$A$43</formula>
    </cfRule>
  </conditionalFormatting>
  <conditionalFormatting sqref="AW28">
    <cfRule type="cellIs" dxfId="2203" priority="781" stopIfTrue="1" operator="equal">
      <formula>$A$43</formula>
    </cfRule>
  </conditionalFormatting>
  <conditionalFormatting sqref="AW28">
    <cfRule type="cellIs" dxfId="2202" priority="780" stopIfTrue="1" operator="equal">
      <formula>$A$43</formula>
    </cfRule>
  </conditionalFormatting>
  <conditionalFormatting sqref="AW28">
    <cfRule type="cellIs" dxfId="2201" priority="779" stopIfTrue="1" operator="equal">
      <formula>$A$43</formula>
    </cfRule>
  </conditionalFormatting>
  <conditionalFormatting sqref="AW28">
    <cfRule type="cellIs" dxfId="2200" priority="778" stopIfTrue="1" operator="equal">
      <formula>$A$43</formula>
    </cfRule>
  </conditionalFormatting>
  <conditionalFormatting sqref="AW28">
    <cfRule type="cellIs" dxfId="2199" priority="777" stopIfTrue="1" operator="equal">
      <formula>$A$43</formula>
    </cfRule>
  </conditionalFormatting>
  <conditionalFormatting sqref="AW28">
    <cfRule type="cellIs" dxfId="2198" priority="776" stopIfTrue="1" operator="equal">
      <formula>$A$43</formula>
    </cfRule>
  </conditionalFormatting>
  <conditionalFormatting sqref="AW28">
    <cfRule type="cellIs" dxfId="2197" priority="775" stopIfTrue="1" operator="equal">
      <formula>$A$43</formula>
    </cfRule>
  </conditionalFormatting>
  <conditionalFormatting sqref="AW28">
    <cfRule type="cellIs" dxfId="2196" priority="774" stopIfTrue="1" operator="equal">
      <formula>$A$43</formula>
    </cfRule>
  </conditionalFormatting>
  <conditionalFormatting sqref="AU29">
    <cfRule type="cellIs" dxfId="2195" priority="773" stopIfTrue="1" operator="equal">
      <formula>$A$43</formula>
    </cfRule>
  </conditionalFormatting>
  <conditionalFormatting sqref="AU29">
    <cfRule type="cellIs" dxfId="2194" priority="772" stopIfTrue="1" operator="equal">
      <formula>$A$43</formula>
    </cfRule>
  </conditionalFormatting>
  <conditionalFormatting sqref="AU29">
    <cfRule type="cellIs" dxfId="2193" priority="771" stopIfTrue="1" operator="equal">
      <formula>$A$43</formula>
    </cfRule>
  </conditionalFormatting>
  <conditionalFormatting sqref="AU29">
    <cfRule type="cellIs" dxfId="2192" priority="770" stopIfTrue="1" operator="equal">
      <formula>$A$43</formula>
    </cfRule>
  </conditionalFormatting>
  <conditionalFormatting sqref="AU29">
    <cfRule type="cellIs" dxfId="2191" priority="769" stopIfTrue="1" operator="equal">
      <formula>$A$43</formula>
    </cfRule>
  </conditionalFormatting>
  <conditionalFormatting sqref="AU29">
    <cfRule type="cellIs" dxfId="2190" priority="768" stopIfTrue="1" operator="equal">
      <formula>$A$43</formula>
    </cfRule>
  </conditionalFormatting>
  <conditionalFormatting sqref="AU29">
    <cfRule type="cellIs" dxfId="2189" priority="767" stopIfTrue="1" operator="equal">
      <formula>$A$43</formula>
    </cfRule>
  </conditionalFormatting>
  <conditionalFormatting sqref="AU29">
    <cfRule type="cellIs" dxfId="2188" priority="766" stopIfTrue="1" operator="equal">
      <formula>$A$43</formula>
    </cfRule>
  </conditionalFormatting>
  <conditionalFormatting sqref="AU29">
    <cfRule type="cellIs" dxfId="2187" priority="765" stopIfTrue="1" operator="equal">
      <formula>$A$43</formula>
    </cfRule>
  </conditionalFormatting>
  <conditionalFormatting sqref="AU29">
    <cfRule type="cellIs" dxfId="2186" priority="764" stopIfTrue="1" operator="equal">
      <formula>$A$43</formula>
    </cfRule>
  </conditionalFormatting>
  <conditionalFormatting sqref="AU29">
    <cfRule type="cellIs" dxfId="2185" priority="763" stopIfTrue="1" operator="equal">
      <formula>$A$43</formula>
    </cfRule>
  </conditionalFormatting>
  <conditionalFormatting sqref="AU29">
    <cfRule type="cellIs" dxfId="2184" priority="762" stopIfTrue="1" operator="equal">
      <formula>$A$43</formula>
    </cfRule>
  </conditionalFormatting>
  <conditionalFormatting sqref="AW29">
    <cfRule type="cellIs" dxfId="2183" priority="761" stopIfTrue="1" operator="equal">
      <formula>$A$43</formula>
    </cfRule>
  </conditionalFormatting>
  <conditionalFormatting sqref="AW29">
    <cfRule type="cellIs" dxfId="2182" priority="760" stopIfTrue="1" operator="equal">
      <formula>$A$43</formula>
    </cfRule>
  </conditionalFormatting>
  <conditionalFormatting sqref="AW29">
    <cfRule type="cellIs" dxfId="2181" priority="759" stopIfTrue="1" operator="equal">
      <formula>$A$43</formula>
    </cfRule>
  </conditionalFormatting>
  <conditionalFormatting sqref="AW29">
    <cfRule type="cellIs" dxfId="2180" priority="758" stopIfTrue="1" operator="equal">
      <formula>$A$43</formula>
    </cfRule>
  </conditionalFormatting>
  <conditionalFormatting sqref="AW29">
    <cfRule type="cellIs" dxfId="2179" priority="757" stopIfTrue="1" operator="equal">
      <formula>$A$43</formula>
    </cfRule>
  </conditionalFormatting>
  <conditionalFormatting sqref="AW29">
    <cfRule type="cellIs" dxfId="2178" priority="756" stopIfTrue="1" operator="equal">
      <formula>$A$43</formula>
    </cfRule>
  </conditionalFormatting>
  <conditionalFormatting sqref="AW29">
    <cfRule type="cellIs" dxfId="2177" priority="755" stopIfTrue="1" operator="equal">
      <formula>$A$43</formula>
    </cfRule>
  </conditionalFormatting>
  <conditionalFormatting sqref="AW29">
    <cfRule type="cellIs" dxfId="2176" priority="754" stopIfTrue="1" operator="equal">
      <formula>$A$43</formula>
    </cfRule>
  </conditionalFormatting>
  <conditionalFormatting sqref="AW29">
    <cfRule type="cellIs" dxfId="2175" priority="753" stopIfTrue="1" operator="equal">
      <formula>$A$43</formula>
    </cfRule>
  </conditionalFormatting>
  <conditionalFormatting sqref="AW29">
    <cfRule type="cellIs" dxfId="2174" priority="752" stopIfTrue="1" operator="equal">
      <formula>$A$43</formula>
    </cfRule>
  </conditionalFormatting>
  <conditionalFormatting sqref="AW29">
    <cfRule type="cellIs" dxfId="2173" priority="751" stopIfTrue="1" operator="equal">
      <formula>$A$43</formula>
    </cfRule>
  </conditionalFormatting>
  <conditionalFormatting sqref="AW29">
    <cfRule type="cellIs" dxfId="2172" priority="750" stopIfTrue="1" operator="equal">
      <formula>$A$43</formula>
    </cfRule>
  </conditionalFormatting>
  <conditionalFormatting sqref="AS26:AX27">
    <cfRule type="cellIs" dxfId="2171" priority="700" stopIfTrue="1" operator="equal">
      <formula>$A$43</formula>
    </cfRule>
  </conditionalFormatting>
  <conditionalFormatting sqref="AS20">
    <cfRule type="cellIs" dxfId="2170" priority="699" stopIfTrue="1" operator="equal">
      <formula>$A$42</formula>
    </cfRule>
  </conditionalFormatting>
  <conditionalFormatting sqref="DB20">
    <cfRule type="cellIs" dxfId="2169" priority="698" stopIfTrue="1" operator="equal">
      <formula>$A$43</formula>
    </cfRule>
  </conditionalFormatting>
  <conditionalFormatting sqref="DB20">
    <cfRule type="cellIs" dxfId="2168" priority="697" stopIfTrue="1" operator="equal">
      <formula>$A$43</formula>
    </cfRule>
  </conditionalFormatting>
  <conditionalFormatting sqref="DB20">
    <cfRule type="cellIs" dxfId="2167" priority="696" stopIfTrue="1" operator="equal">
      <formula>$A$43</formula>
    </cfRule>
  </conditionalFormatting>
  <conditionalFormatting sqref="DB20">
    <cfRule type="cellIs" dxfId="2166" priority="695" stopIfTrue="1" operator="equal">
      <formula>$A$43</formula>
    </cfRule>
  </conditionalFormatting>
  <conditionalFormatting sqref="DB20">
    <cfRule type="cellIs" dxfId="2165" priority="694" stopIfTrue="1" operator="equal">
      <formula>$A$43</formula>
    </cfRule>
  </conditionalFormatting>
  <conditionalFormatting sqref="DB20">
    <cfRule type="cellIs" dxfId="2164" priority="693" stopIfTrue="1" operator="equal">
      <formula>$A$43</formula>
    </cfRule>
  </conditionalFormatting>
  <conditionalFormatting sqref="DB20">
    <cfRule type="cellIs" dxfId="2163" priority="692" stopIfTrue="1" operator="equal">
      <formula>$A$43</formula>
    </cfRule>
  </conditionalFormatting>
  <conditionalFormatting sqref="DB20">
    <cfRule type="cellIs" dxfId="2162" priority="691" stopIfTrue="1" operator="equal">
      <formula>$A$43</formula>
    </cfRule>
  </conditionalFormatting>
  <conditionalFormatting sqref="DB20">
    <cfRule type="cellIs" dxfId="2161" priority="690" stopIfTrue="1" operator="equal">
      <formula>$A$43</formula>
    </cfRule>
  </conditionalFormatting>
  <conditionalFormatting sqref="DB20">
    <cfRule type="cellIs" dxfId="2160" priority="689" stopIfTrue="1" operator="equal">
      <formula>$A$43</formula>
    </cfRule>
  </conditionalFormatting>
  <conditionalFormatting sqref="DB20">
    <cfRule type="cellIs" dxfId="2159" priority="688" stopIfTrue="1" operator="equal">
      <formula>$A$43</formula>
    </cfRule>
  </conditionalFormatting>
  <conditionalFormatting sqref="DB20">
    <cfRule type="cellIs" dxfId="2158" priority="687" stopIfTrue="1" operator="equal">
      <formula>$A$43</formula>
    </cfRule>
  </conditionalFormatting>
  <conditionalFormatting sqref="DB20">
    <cfRule type="cellIs" dxfId="2157" priority="686" stopIfTrue="1" operator="equal">
      <formula>$A$43</formula>
    </cfRule>
  </conditionalFormatting>
  <conditionalFormatting sqref="DB20">
    <cfRule type="cellIs" dxfId="2156" priority="685" stopIfTrue="1" operator="equal">
      <formula>$A$43</formula>
    </cfRule>
  </conditionalFormatting>
  <conditionalFormatting sqref="DB20">
    <cfRule type="cellIs" dxfId="2155" priority="684" stopIfTrue="1" operator="equal">
      <formula>$A$43</formula>
    </cfRule>
  </conditionalFormatting>
  <conditionalFormatting sqref="DB20">
    <cfRule type="cellIs" dxfId="2154" priority="683" stopIfTrue="1" operator="equal">
      <formula>$A$42</formula>
    </cfRule>
  </conditionalFormatting>
  <conditionalFormatting sqref="DG26:DG27">
    <cfRule type="cellIs" dxfId="2153" priority="681" stopIfTrue="1" operator="equal">
      <formula>$A$43</formula>
    </cfRule>
  </conditionalFormatting>
  <conditionalFormatting sqref="DG17">
    <cfRule type="cellIs" dxfId="2152" priority="682" stopIfTrue="1" operator="equal">
      <formula>$A$42</formula>
    </cfRule>
  </conditionalFormatting>
  <conditionalFormatting sqref="DG8">
    <cfRule type="cellIs" dxfId="2151" priority="679" stopIfTrue="1" operator="equal">
      <formula>$A$43</formula>
    </cfRule>
  </conditionalFormatting>
  <conditionalFormatting sqref="P16:R17">
    <cfRule type="cellIs" dxfId="2150" priority="678" stopIfTrue="1" operator="equal">
      <formula>$A$42</formula>
    </cfRule>
  </conditionalFormatting>
  <conditionalFormatting sqref="DH8">
    <cfRule type="cellIs" dxfId="2149" priority="677" stopIfTrue="1" operator="equal">
      <formula>$A$43</formula>
    </cfRule>
  </conditionalFormatting>
  <conditionalFormatting sqref="DI8">
    <cfRule type="cellIs" dxfId="2148" priority="676" stopIfTrue="1" operator="equal">
      <formula>$A$43</formula>
    </cfRule>
  </conditionalFormatting>
  <conditionalFormatting sqref="DH28:DJ29">
    <cfRule type="cellIs" dxfId="2147" priority="673" stopIfTrue="1" operator="equal">
      <formula>$A$43</formula>
    </cfRule>
  </conditionalFormatting>
  <conditionalFormatting sqref="DH26:DJ27">
    <cfRule type="cellIs" dxfId="2146" priority="674" stopIfTrue="1" operator="equal">
      <formula>$A$43</formula>
    </cfRule>
  </conditionalFormatting>
  <conditionalFormatting sqref="N20:O20">
    <cfRule type="cellIs" dxfId="2145" priority="672" stopIfTrue="1" operator="equal">
      <formula>$A$42</formula>
    </cfRule>
  </conditionalFormatting>
  <conditionalFormatting sqref="DK8">
    <cfRule type="cellIs" dxfId="2144" priority="671" stopIfTrue="1" operator="equal">
      <formula>$A$43</formula>
    </cfRule>
  </conditionalFormatting>
  <conditionalFormatting sqref="DK28:DK29">
    <cfRule type="cellIs" dxfId="2143" priority="668" stopIfTrue="1" operator="equal">
      <formula>$A$43</formula>
    </cfRule>
  </conditionalFormatting>
  <conditionalFormatting sqref="DK26:DK27">
    <cfRule type="cellIs" dxfId="2142" priority="669" stopIfTrue="1" operator="equal">
      <formula>$A$43</formula>
    </cfRule>
  </conditionalFormatting>
  <conditionalFormatting sqref="DL8">
    <cfRule type="cellIs" dxfId="2141" priority="667" stopIfTrue="1" operator="equal">
      <formula>$A$43</formula>
    </cfRule>
  </conditionalFormatting>
  <conditionalFormatting sqref="DL28:DL29">
    <cfRule type="cellIs" dxfId="2140" priority="664" stopIfTrue="1" operator="equal">
      <formula>$A$43</formula>
    </cfRule>
  </conditionalFormatting>
  <conditionalFormatting sqref="DL26:DL27">
    <cfRule type="cellIs" dxfId="2139" priority="665" stopIfTrue="1" operator="equal">
      <formula>$A$43</formula>
    </cfRule>
  </conditionalFormatting>
  <conditionalFormatting sqref="BY12:BZ13">
    <cfRule type="cellIs" dxfId="2138" priority="604" stopIfTrue="1" operator="equal">
      <formula>$A$43</formula>
    </cfRule>
  </conditionalFormatting>
  <conditionalFormatting sqref="BY11:BZ11">
    <cfRule type="cellIs" dxfId="2137" priority="605" stopIfTrue="1" operator="equal">
      <formula>$A$42</formula>
    </cfRule>
  </conditionalFormatting>
  <conditionalFormatting sqref="BY18:BZ18">
    <cfRule type="cellIs" dxfId="2136" priority="602" stopIfTrue="1" operator="equal">
      <formula>$A$43</formula>
    </cfRule>
  </conditionalFormatting>
  <conditionalFormatting sqref="BY17:BZ17">
    <cfRule type="cellIs" dxfId="2135" priority="603" stopIfTrue="1" operator="equal">
      <formula>$A$42</formula>
    </cfRule>
  </conditionalFormatting>
  <conditionalFormatting sqref="BY25">
    <cfRule type="cellIs" dxfId="2134" priority="600" stopIfTrue="1" operator="equal">
      <formula>$A$43</formula>
    </cfRule>
  </conditionalFormatting>
  <conditionalFormatting sqref="BY28:BY29">
    <cfRule type="cellIs" dxfId="2133" priority="599" stopIfTrue="1" operator="equal">
      <formula>$A$43</formula>
    </cfRule>
  </conditionalFormatting>
  <conditionalFormatting sqref="DM1:DU1">
    <cfRule type="cellIs" dxfId="2132" priority="597" stopIfTrue="1" operator="equal">
      <formula>$A$43</formula>
    </cfRule>
  </conditionalFormatting>
  <conditionalFormatting sqref="DM1:DU1">
    <cfRule type="cellIs" dxfId="2131" priority="596" stopIfTrue="1" operator="equal">
      <formula>$A$43</formula>
    </cfRule>
  </conditionalFormatting>
  <conditionalFormatting sqref="DM1:DU1">
    <cfRule type="cellIs" dxfId="2130" priority="595" stopIfTrue="1" operator="equal">
      <formula>$A$43</formula>
    </cfRule>
  </conditionalFormatting>
  <conditionalFormatting sqref="DM8:DU8">
    <cfRule type="cellIs" dxfId="2129" priority="594" stopIfTrue="1" operator="equal">
      <formula>$A$43</formula>
    </cfRule>
  </conditionalFormatting>
  <conditionalFormatting sqref="DM26:DU27">
    <cfRule type="cellIs" dxfId="2128" priority="593" stopIfTrue="1" operator="equal">
      <formula>$A$43</formula>
    </cfRule>
  </conditionalFormatting>
  <conditionalFormatting sqref="DM25">
    <cfRule type="cellIs" dxfId="2127" priority="591" stopIfTrue="1" operator="equal">
      <formula>$A$43</formula>
    </cfRule>
  </conditionalFormatting>
  <conditionalFormatting sqref="DN25">
    <cfRule type="cellIs" dxfId="2126" priority="590" stopIfTrue="1" operator="equal">
      <formula>$A$43</formula>
    </cfRule>
  </conditionalFormatting>
  <conditionalFormatting sqref="DO25">
    <cfRule type="cellIs" dxfId="2125" priority="589" stopIfTrue="1" operator="equal">
      <formula>$A$43</formula>
    </cfRule>
  </conditionalFormatting>
  <conditionalFormatting sqref="DP25">
    <cfRule type="cellIs" dxfId="2124" priority="588" stopIfTrue="1" operator="equal">
      <formula>$A$43</formula>
    </cfRule>
  </conditionalFormatting>
  <conditionalFormatting sqref="DQ25">
    <cfRule type="cellIs" dxfId="2123" priority="587" stopIfTrue="1" operator="equal">
      <formula>$A$43</formula>
    </cfRule>
  </conditionalFormatting>
  <conditionalFormatting sqref="DR25">
    <cfRule type="cellIs" dxfId="2122" priority="586" stopIfTrue="1" operator="equal">
      <formula>$A$43</formula>
    </cfRule>
  </conditionalFormatting>
  <conditionalFormatting sqref="DS25">
    <cfRule type="cellIs" dxfId="2121" priority="585" stopIfTrue="1" operator="equal">
      <formula>$A$43</formula>
    </cfRule>
  </conditionalFormatting>
  <conditionalFormatting sqref="DT25">
    <cfRule type="cellIs" dxfId="2120" priority="583" stopIfTrue="1" operator="equal">
      <formula>$A$43</formula>
    </cfRule>
  </conditionalFormatting>
  <conditionalFormatting sqref="DU25">
    <cfRule type="cellIs" dxfId="2119" priority="582" stopIfTrue="1" operator="equal">
      <formula>$A$43</formula>
    </cfRule>
  </conditionalFormatting>
  <conditionalFormatting sqref="DV8:DX8">
    <cfRule type="cellIs" dxfId="2118" priority="581" stopIfTrue="1" operator="equal">
      <formula>$A$43</formula>
    </cfRule>
  </conditionalFormatting>
  <conditionalFormatting sqref="DV1">
    <cfRule type="cellIs" dxfId="2117" priority="580" stopIfTrue="1" operator="equal">
      <formula>$A$43</formula>
    </cfRule>
  </conditionalFormatting>
  <conditionalFormatting sqref="DV1">
    <cfRule type="cellIs" dxfId="2116" priority="579" stopIfTrue="1" operator="equal">
      <formula>$A$43</formula>
    </cfRule>
  </conditionalFormatting>
  <conditionalFormatting sqref="DV1">
    <cfRule type="cellIs" dxfId="2115" priority="578" stopIfTrue="1" operator="equal">
      <formula>$A$43</formula>
    </cfRule>
  </conditionalFormatting>
  <conditionalFormatting sqref="DV26:DV27">
    <cfRule type="cellIs" dxfId="2114" priority="577" stopIfTrue="1" operator="equal">
      <formula>$A$43</formula>
    </cfRule>
  </conditionalFormatting>
  <conditionalFormatting sqref="DV25">
    <cfRule type="cellIs" dxfId="2113" priority="575" stopIfTrue="1" operator="equal">
      <formula>$A$43</formula>
    </cfRule>
  </conditionalFormatting>
  <conditionalFormatting sqref="DW1">
    <cfRule type="cellIs" dxfId="2112" priority="574" stopIfTrue="1" operator="equal">
      <formula>$A$43</formula>
    </cfRule>
  </conditionalFormatting>
  <conditionalFormatting sqref="DW1">
    <cfRule type="cellIs" dxfId="2111" priority="573" stopIfTrue="1" operator="equal">
      <formula>$A$43</formula>
    </cfRule>
  </conditionalFormatting>
  <conditionalFormatting sqref="DW1">
    <cfRule type="cellIs" dxfId="2110" priority="572" stopIfTrue="1" operator="equal">
      <formula>$A$43</formula>
    </cfRule>
  </conditionalFormatting>
  <conditionalFormatting sqref="DW26:DW27">
    <cfRule type="cellIs" dxfId="2109" priority="571" stopIfTrue="1" operator="equal">
      <formula>$A$43</formula>
    </cfRule>
  </conditionalFormatting>
  <conditionalFormatting sqref="DW25">
    <cfRule type="cellIs" dxfId="2108" priority="569" stopIfTrue="1" operator="equal">
      <formula>$A$43</formula>
    </cfRule>
  </conditionalFormatting>
  <conditionalFormatting sqref="DX1">
    <cfRule type="cellIs" dxfId="2107" priority="568" stopIfTrue="1" operator="equal">
      <formula>$A$43</formula>
    </cfRule>
  </conditionalFormatting>
  <conditionalFormatting sqref="DX1">
    <cfRule type="cellIs" dxfId="2106" priority="567" stopIfTrue="1" operator="equal">
      <formula>$A$43</formula>
    </cfRule>
  </conditionalFormatting>
  <conditionalFormatting sqref="DX1">
    <cfRule type="cellIs" dxfId="2105" priority="566" stopIfTrue="1" operator="equal">
      <formula>$A$43</formula>
    </cfRule>
  </conditionalFormatting>
  <conditionalFormatting sqref="DX26:DX27">
    <cfRule type="cellIs" dxfId="2104" priority="565" stopIfTrue="1" operator="equal">
      <formula>$A$43</formula>
    </cfRule>
  </conditionalFormatting>
  <conditionalFormatting sqref="DX25">
    <cfRule type="cellIs" dxfId="2103" priority="563" stopIfTrue="1" operator="equal">
      <formula>$A$43</formula>
    </cfRule>
  </conditionalFormatting>
  <conditionalFormatting sqref="DY1">
    <cfRule type="cellIs" dxfId="2102" priority="562" stopIfTrue="1" operator="equal">
      <formula>$A$43</formula>
    </cfRule>
  </conditionalFormatting>
  <conditionalFormatting sqref="DY1">
    <cfRule type="cellIs" dxfId="2101" priority="561" stopIfTrue="1" operator="equal">
      <formula>$A$43</formula>
    </cfRule>
  </conditionalFormatting>
  <conditionalFormatting sqref="DY1">
    <cfRule type="cellIs" dxfId="2100" priority="560" stopIfTrue="1" operator="equal">
      <formula>$A$43</formula>
    </cfRule>
  </conditionalFormatting>
  <conditionalFormatting sqref="DY8">
    <cfRule type="cellIs" dxfId="2099" priority="559" stopIfTrue="1" operator="equal">
      <formula>$A$43</formula>
    </cfRule>
  </conditionalFormatting>
  <conditionalFormatting sqref="DY26:DY27">
    <cfRule type="cellIs" dxfId="2098" priority="558" stopIfTrue="1" operator="equal">
      <formula>$A$43</formula>
    </cfRule>
  </conditionalFormatting>
  <conditionalFormatting sqref="DY25">
    <cfRule type="cellIs" dxfId="2097" priority="556" stopIfTrue="1" operator="equal">
      <formula>$A$43</formula>
    </cfRule>
  </conditionalFormatting>
  <conditionalFormatting sqref="DZ8:EA8">
    <cfRule type="cellIs" dxfId="2096" priority="555" stopIfTrue="1" operator="equal">
      <formula>$A$43</formula>
    </cfRule>
  </conditionalFormatting>
  <conditionalFormatting sqref="DZ1">
    <cfRule type="cellIs" dxfId="2095" priority="554" stopIfTrue="1" operator="equal">
      <formula>$A$43</formula>
    </cfRule>
  </conditionalFormatting>
  <conditionalFormatting sqref="DZ1">
    <cfRule type="cellIs" dxfId="2094" priority="553" stopIfTrue="1" operator="equal">
      <formula>$A$43</formula>
    </cfRule>
  </conditionalFormatting>
  <conditionalFormatting sqref="DZ1">
    <cfRule type="cellIs" dxfId="2093" priority="552" stopIfTrue="1" operator="equal">
      <formula>$A$43</formula>
    </cfRule>
  </conditionalFormatting>
  <conditionalFormatting sqref="DZ26:DZ27">
    <cfRule type="cellIs" dxfId="2092" priority="551" stopIfTrue="1" operator="equal">
      <formula>$A$43</formula>
    </cfRule>
  </conditionalFormatting>
  <conditionalFormatting sqref="DZ25">
    <cfRule type="cellIs" dxfId="2091" priority="549" stopIfTrue="1" operator="equal">
      <formula>$A$43</formula>
    </cfRule>
  </conditionalFormatting>
  <conditionalFormatting sqref="EA1">
    <cfRule type="cellIs" dxfId="2090" priority="548" stopIfTrue="1" operator="equal">
      <formula>$A$43</formula>
    </cfRule>
  </conditionalFormatting>
  <conditionalFormatting sqref="EA1">
    <cfRule type="cellIs" dxfId="2089" priority="547" stopIfTrue="1" operator="equal">
      <formula>$A$43</formula>
    </cfRule>
  </conditionalFormatting>
  <conditionalFormatting sqref="EA1">
    <cfRule type="cellIs" dxfId="2088" priority="546" stopIfTrue="1" operator="equal">
      <formula>$A$43</formula>
    </cfRule>
  </conditionalFormatting>
  <conditionalFormatting sqref="EA26:EA27">
    <cfRule type="cellIs" dxfId="2087" priority="545" stopIfTrue="1" operator="equal">
      <formula>$A$43</formula>
    </cfRule>
  </conditionalFormatting>
  <conditionalFormatting sqref="EA25">
    <cfRule type="cellIs" dxfId="2086" priority="543" stopIfTrue="1" operator="equal">
      <formula>$A$43</formula>
    </cfRule>
  </conditionalFormatting>
  <conditionalFormatting sqref="DM31:EJ31">
    <cfRule type="cellIs" dxfId="2085" priority="542" stopIfTrue="1" operator="equal">
      <formula>$A$43</formula>
    </cfRule>
  </conditionalFormatting>
  <conditionalFormatting sqref="DM16:EA22">
    <cfRule type="cellIs" dxfId="2084" priority="535" stopIfTrue="1" operator="equal">
      <formula>$A$43</formula>
    </cfRule>
  </conditionalFormatting>
  <conditionalFormatting sqref="DM28:EA29">
    <cfRule type="cellIs" dxfId="2083" priority="534" stopIfTrue="1" operator="equal">
      <formula>$A$43</formula>
    </cfRule>
  </conditionalFormatting>
  <conditionalFormatting sqref="DM14:EA15">
    <cfRule type="cellIs" dxfId="2082" priority="531" stopIfTrue="1" operator="equal">
      <formula>$A$43</formula>
    </cfRule>
  </conditionalFormatting>
  <conditionalFormatting sqref="DM24:EA24">
    <cfRule type="cellIs" dxfId="2081" priority="530" stopIfTrue="1" operator="equal">
      <formula>$A$43</formula>
    </cfRule>
  </conditionalFormatting>
  <conditionalFormatting sqref="DM30:EA30">
    <cfRule type="cellIs" dxfId="2080" priority="529" stopIfTrue="1" operator="equal">
      <formula>$A$43</formula>
    </cfRule>
  </conditionalFormatting>
  <conditionalFormatting sqref="EB8:EJ8">
    <cfRule type="cellIs" dxfId="2079" priority="525" stopIfTrue="1" operator="equal">
      <formula>$A$43</formula>
    </cfRule>
  </conditionalFormatting>
  <conditionalFormatting sqref="EB14:EG15">
    <cfRule type="cellIs" dxfId="2078" priority="524" stopIfTrue="1" operator="equal">
      <formula>$A$43</formula>
    </cfRule>
  </conditionalFormatting>
  <conditionalFormatting sqref="EB9:EG9">
    <cfRule type="cellIs" dxfId="2077" priority="521" stopIfTrue="1" operator="equal">
      <formula>$A$43</formula>
    </cfRule>
  </conditionalFormatting>
  <conditionalFormatting sqref="EB26:EG27">
    <cfRule type="cellIs" dxfId="2076" priority="522" stopIfTrue="1" operator="equal">
      <formula>$A$43</formula>
    </cfRule>
  </conditionalFormatting>
  <conditionalFormatting sqref="EB28:EG29">
    <cfRule type="cellIs" dxfId="2075" priority="519" stopIfTrue="1" operator="equal">
      <formula>$A$43</formula>
    </cfRule>
  </conditionalFormatting>
  <conditionalFormatting sqref="EB30:EG30">
    <cfRule type="cellIs" dxfId="2074" priority="516" stopIfTrue="1" operator="equal">
      <formula>$A$43</formula>
    </cfRule>
  </conditionalFormatting>
  <conditionalFormatting sqref="EB25:EG25">
    <cfRule type="cellIs" dxfId="2073" priority="512" stopIfTrue="1" operator="equal">
      <formula>$A$43</formula>
    </cfRule>
  </conditionalFormatting>
  <conditionalFormatting sqref="EH14:EJ15">
    <cfRule type="cellIs" dxfId="2072" priority="511" stopIfTrue="1" operator="equal">
      <formula>$A$43</formula>
    </cfRule>
  </conditionalFormatting>
  <conditionalFormatting sqref="EH9:EJ9">
    <cfRule type="cellIs" dxfId="2071" priority="508" stopIfTrue="1" operator="equal">
      <formula>$A$43</formula>
    </cfRule>
  </conditionalFormatting>
  <conditionalFormatting sqref="EH26:EJ27">
    <cfRule type="cellIs" dxfId="2070" priority="509" stopIfTrue="1" operator="equal">
      <formula>$A$43</formula>
    </cfRule>
  </conditionalFormatting>
  <conditionalFormatting sqref="EH28:EJ29">
    <cfRule type="cellIs" dxfId="2069" priority="506" stopIfTrue="1" operator="equal">
      <formula>$A$43</formula>
    </cfRule>
  </conditionalFormatting>
  <conditionalFormatting sqref="EH30:EJ30">
    <cfRule type="cellIs" dxfId="2068" priority="503" stopIfTrue="1" operator="equal">
      <formula>$A$43</formula>
    </cfRule>
  </conditionalFormatting>
  <conditionalFormatting sqref="EH25:EJ25">
    <cfRule type="cellIs" dxfId="2067" priority="499" stopIfTrue="1" operator="equal">
      <formula>$A$43</formula>
    </cfRule>
  </conditionalFormatting>
  <conditionalFormatting sqref="EK23:EN23">
    <cfRule type="cellIs" dxfId="2066" priority="498" stopIfTrue="1" operator="equal">
      <formula>$A$43</formula>
    </cfRule>
  </conditionalFormatting>
  <conditionalFormatting sqref="EK31:EN31">
    <cfRule type="cellIs" dxfId="2065" priority="497" stopIfTrue="1" operator="equal">
      <formula>$A$43</formula>
    </cfRule>
  </conditionalFormatting>
  <conditionalFormatting sqref="EK8">
    <cfRule type="cellIs" dxfId="2064" priority="496" stopIfTrue="1" operator="equal">
      <formula>$A$43</formula>
    </cfRule>
  </conditionalFormatting>
  <conditionalFormatting sqref="EK14:EK15">
    <cfRule type="cellIs" dxfId="2063" priority="495" stopIfTrue="1" operator="equal">
      <formula>$A$43</formula>
    </cfRule>
  </conditionalFormatting>
  <conditionalFormatting sqref="EK9">
    <cfRule type="cellIs" dxfId="2062" priority="492" stopIfTrue="1" operator="equal">
      <formula>$A$43</formula>
    </cfRule>
  </conditionalFormatting>
  <conditionalFormatting sqref="EK26:EK27">
    <cfRule type="cellIs" dxfId="2061" priority="493" stopIfTrue="1" operator="equal">
      <formula>$A$43</formula>
    </cfRule>
  </conditionalFormatting>
  <conditionalFormatting sqref="EK28:EK29">
    <cfRule type="cellIs" dxfId="2060" priority="490" stopIfTrue="1" operator="equal">
      <formula>$A$43</formula>
    </cfRule>
  </conditionalFormatting>
  <conditionalFormatting sqref="EK30">
    <cfRule type="cellIs" dxfId="2059" priority="487" stopIfTrue="1" operator="equal">
      <formula>$A$43</formula>
    </cfRule>
  </conditionalFormatting>
  <conditionalFormatting sqref="EK25">
    <cfRule type="cellIs" dxfId="2058" priority="483" stopIfTrue="1" operator="equal">
      <formula>$A$43</formula>
    </cfRule>
  </conditionalFormatting>
  <conditionalFormatting sqref="EL17:EL21">
    <cfRule type="cellIs" dxfId="2057" priority="476" stopIfTrue="1" operator="equal">
      <formula>$A$43</formula>
    </cfRule>
  </conditionalFormatting>
  <conditionalFormatting sqref="EL24">
    <cfRule type="cellIs" dxfId="2056" priority="477" stopIfTrue="1" operator="equal">
      <formula>$A$43</formula>
    </cfRule>
  </conditionalFormatting>
  <conditionalFormatting sqref="EL8">
    <cfRule type="cellIs" dxfId="2055" priority="475" stopIfTrue="1" operator="equal">
      <formula>$A$43</formula>
    </cfRule>
  </conditionalFormatting>
  <conditionalFormatting sqref="EL14:EL15">
    <cfRule type="cellIs" dxfId="2054" priority="474" stopIfTrue="1" operator="equal">
      <formula>$A$43</formula>
    </cfRule>
  </conditionalFormatting>
  <conditionalFormatting sqref="EL9">
    <cfRule type="cellIs" dxfId="2053" priority="471" stopIfTrue="1" operator="equal">
      <formula>$A$43</formula>
    </cfRule>
  </conditionalFormatting>
  <conditionalFormatting sqref="EL26:EL27">
    <cfRule type="cellIs" dxfId="2052" priority="472" stopIfTrue="1" operator="equal">
      <formula>$A$43</formula>
    </cfRule>
  </conditionalFormatting>
  <conditionalFormatting sqref="EL28:EL29">
    <cfRule type="cellIs" dxfId="2051" priority="469" stopIfTrue="1" operator="equal">
      <formula>$A$43</formula>
    </cfRule>
  </conditionalFormatting>
  <conditionalFormatting sqref="EL30">
    <cfRule type="cellIs" dxfId="2050" priority="466" stopIfTrue="1" operator="equal">
      <formula>$A$43</formula>
    </cfRule>
  </conditionalFormatting>
  <conditionalFormatting sqref="EL25">
    <cfRule type="cellIs" dxfId="2049" priority="462" stopIfTrue="1" operator="equal">
      <formula>$A$43</formula>
    </cfRule>
  </conditionalFormatting>
  <conditionalFormatting sqref="EL16">
    <cfRule type="cellIs" dxfId="2048" priority="461" stopIfTrue="1" operator="equal">
      <formula>$A$43</formula>
    </cfRule>
  </conditionalFormatting>
  <conditionalFormatting sqref="EL22">
    <cfRule type="cellIs" dxfId="2047" priority="460" stopIfTrue="1" operator="equal">
      <formula>$A$43</formula>
    </cfRule>
  </conditionalFormatting>
  <conditionalFormatting sqref="EM17:EM21">
    <cfRule type="cellIs" dxfId="2046" priority="458" stopIfTrue="1" operator="equal">
      <formula>$A$43</formula>
    </cfRule>
  </conditionalFormatting>
  <conditionalFormatting sqref="EM24">
    <cfRule type="cellIs" dxfId="2045" priority="459" stopIfTrue="1" operator="equal">
      <formula>$A$43</formula>
    </cfRule>
  </conditionalFormatting>
  <conditionalFormatting sqref="EM8">
    <cfRule type="cellIs" dxfId="2044" priority="457" stopIfTrue="1" operator="equal">
      <formula>$A$43</formula>
    </cfRule>
  </conditionalFormatting>
  <conditionalFormatting sqref="EM15">
    <cfRule type="cellIs" dxfId="2043" priority="456" stopIfTrue="1" operator="equal">
      <formula>$A$43</formula>
    </cfRule>
  </conditionalFormatting>
  <conditionalFormatting sqref="EM9">
    <cfRule type="cellIs" dxfId="2042" priority="453" stopIfTrue="1" operator="equal">
      <formula>$A$43</formula>
    </cfRule>
  </conditionalFormatting>
  <conditionalFormatting sqref="EM26:EM27">
    <cfRule type="cellIs" dxfId="2041" priority="454" stopIfTrue="1" operator="equal">
      <formula>$A$43</formula>
    </cfRule>
  </conditionalFormatting>
  <conditionalFormatting sqref="EM28:EM29">
    <cfRule type="cellIs" dxfId="2040" priority="451" stopIfTrue="1" operator="equal">
      <formula>$A$43</formula>
    </cfRule>
  </conditionalFormatting>
  <conditionalFormatting sqref="EM30">
    <cfRule type="cellIs" dxfId="2039" priority="448" stopIfTrue="1" operator="equal">
      <formula>$A$43</formula>
    </cfRule>
  </conditionalFormatting>
  <conditionalFormatting sqref="EM25">
    <cfRule type="cellIs" dxfId="2038" priority="444" stopIfTrue="1" operator="equal">
      <formula>$A$43</formula>
    </cfRule>
  </conditionalFormatting>
  <conditionalFormatting sqref="EM16">
    <cfRule type="cellIs" dxfId="2037" priority="443" stopIfTrue="1" operator="equal">
      <formula>$A$43</formula>
    </cfRule>
  </conditionalFormatting>
  <conditionalFormatting sqref="EM22">
    <cfRule type="cellIs" dxfId="2036" priority="442" stopIfTrue="1" operator="equal">
      <formula>$A$43</formula>
    </cfRule>
  </conditionalFormatting>
  <conditionalFormatting sqref="EN17:EN21">
    <cfRule type="cellIs" dxfId="2035" priority="440" stopIfTrue="1" operator="equal">
      <formula>$A$43</formula>
    </cfRule>
  </conditionalFormatting>
  <conditionalFormatting sqref="EN24">
    <cfRule type="cellIs" dxfId="2034" priority="441" stopIfTrue="1" operator="equal">
      <formula>$A$43</formula>
    </cfRule>
  </conditionalFormatting>
  <conditionalFormatting sqref="EN8">
    <cfRule type="cellIs" dxfId="2033" priority="439" stopIfTrue="1" operator="equal">
      <formula>$A$43</formula>
    </cfRule>
  </conditionalFormatting>
  <conditionalFormatting sqref="EN15">
    <cfRule type="cellIs" dxfId="2032" priority="438" stopIfTrue="1" operator="equal">
      <formula>$A$43</formula>
    </cfRule>
  </conditionalFormatting>
  <conditionalFormatting sqref="EN9">
    <cfRule type="cellIs" dxfId="2031" priority="435" stopIfTrue="1" operator="equal">
      <formula>$A$43</formula>
    </cfRule>
  </conditionalFormatting>
  <conditionalFormatting sqref="EN26:EN27">
    <cfRule type="cellIs" dxfId="2030" priority="436" stopIfTrue="1" operator="equal">
      <formula>$A$43</formula>
    </cfRule>
  </conditionalFormatting>
  <conditionalFormatting sqref="EN28:EN29">
    <cfRule type="cellIs" dxfId="2029" priority="433" stopIfTrue="1" operator="equal">
      <formula>$A$43</formula>
    </cfRule>
  </conditionalFormatting>
  <conditionalFormatting sqref="EN30">
    <cfRule type="cellIs" dxfId="2028" priority="430" stopIfTrue="1" operator="equal">
      <formula>$A$43</formula>
    </cfRule>
  </conditionalFormatting>
  <conditionalFormatting sqref="EN25">
    <cfRule type="cellIs" dxfId="2027" priority="426" stopIfTrue="1" operator="equal">
      <formula>$A$43</formula>
    </cfRule>
  </conditionalFormatting>
  <conditionalFormatting sqref="EN16">
    <cfRule type="cellIs" dxfId="2026" priority="425" stopIfTrue="1" operator="equal">
      <formula>$A$43</formula>
    </cfRule>
  </conditionalFormatting>
  <conditionalFormatting sqref="EN22">
    <cfRule type="cellIs" dxfId="2025" priority="424" stopIfTrue="1" operator="equal">
      <formula>$A$43</formula>
    </cfRule>
  </conditionalFormatting>
  <conditionalFormatting sqref="EO8:EQ8">
    <cfRule type="cellIs" dxfId="2024" priority="356" stopIfTrue="1" operator="equal">
      <formula>$A$43</formula>
    </cfRule>
  </conditionalFormatting>
  <conditionalFormatting sqref="EP25">
    <cfRule type="cellIs" dxfId="2023" priority="306" stopIfTrue="1" operator="equal">
      <formula>$A$43</formula>
    </cfRule>
  </conditionalFormatting>
  <conditionalFormatting sqref="EP26:EP27">
    <cfRule type="cellIs" dxfId="2022" priority="307" stopIfTrue="1" operator="equal">
      <formula>$A$43</formula>
    </cfRule>
  </conditionalFormatting>
  <conditionalFormatting sqref="EP26:EP27">
    <cfRule type="cellIs" dxfId="2021" priority="305" stopIfTrue="1" operator="equal">
      <formula>$A$43</formula>
    </cfRule>
  </conditionalFormatting>
  <conditionalFormatting sqref="EP13">
    <cfRule type="cellIs" dxfId="2020" priority="304" stopIfTrue="1" operator="equal">
      <formula>$A$43</formula>
    </cfRule>
  </conditionalFormatting>
  <conditionalFormatting sqref="EP13">
    <cfRule type="cellIs" dxfId="2019" priority="303" stopIfTrue="1" operator="equal">
      <formula>$A$43</formula>
    </cfRule>
  </conditionalFormatting>
  <conditionalFormatting sqref="EP13">
    <cfRule type="cellIs" dxfId="2018" priority="302" stopIfTrue="1" operator="equal">
      <formula>$A$43</formula>
    </cfRule>
  </conditionalFormatting>
  <conditionalFormatting sqref="EP13">
    <cfRule type="cellIs" dxfId="2017" priority="301" stopIfTrue="1" operator="equal">
      <formula>$A$43</formula>
    </cfRule>
  </conditionalFormatting>
  <conditionalFormatting sqref="EP13">
    <cfRule type="cellIs" dxfId="2016" priority="300" stopIfTrue="1" operator="equal">
      <formula>$A$43</formula>
    </cfRule>
  </conditionalFormatting>
  <conditionalFormatting sqref="EP13">
    <cfRule type="cellIs" dxfId="2015" priority="299" stopIfTrue="1" operator="equal">
      <formula>$A$43</formula>
    </cfRule>
  </conditionalFormatting>
  <conditionalFormatting sqref="EP17">
    <cfRule type="cellIs" dxfId="2014" priority="298" stopIfTrue="1" operator="equal">
      <formula>$A$42</formula>
    </cfRule>
  </conditionalFormatting>
  <conditionalFormatting sqref="EP16">
    <cfRule type="cellIs" dxfId="2013" priority="297" stopIfTrue="1" operator="equal">
      <formula>$A$42</formula>
    </cfRule>
  </conditionalFormatting>
  <conditionalFormatting sqref="EP20">
    <cfRule type="cellIs" dxfId="2012" priority="296" stopIfTrue="1" operator="equal">
      <formula>$A$43</formula>
    </cfRule>
  </conditionalFormatting>
  <conditionalFormatting sqref="EP20">
    <cfRule type="cellIs" dxfId="2011" priority="295" stopIfTrue="1" operator="equal">
      <formula>$A$43</formula>
    </cfRule>
  </conditionalFormatting>
  <conditionalFormatting sqref="EP20">
    <cfRule type="cellIs" dxfId="2010" priority="294" stopIfTrue="1" operator="equal">
      <formula>$A$43</formula>
    </cfRule>
  </conditionalFormatting>
  <conditionalFormatting sqref="EP20">
    <cfRule type="cellIs" dxfId="2009" priority="293" stopIfTrue="1" operator="equal">
      <formula>$A$43</formula>
    </cfRule>
  </conditionalFormatting>
  <conditionalFormatting sqref="EP20">
    <cfRule type="cellIs" dxfId="2008" priority="292" stopIfTrue="1" operator="equal">
      <formula>$A$43</formula>
    </cfRule>
  </conditionalFormatting>
  <conditionalFormatting sqref="EP20">
    <cfRule type="cellIs" dxfId="2007" priority="291" stopIfTrue="1" operator="equal">
      <formula>$A$43</formula>
    </cfRule>
  </conditionalFormatting>
  <conditionalFormatting sqref="EP20">
    <cfRule type="cellIs" dxfId="2006" priority="290" stopIfTrue="1" operator="equal">
      <formula>$A$43</formula>
    </cfRule>
  </conditionalFormatting>
  <conditionalFormatting sqref="EP20">
    <cfRule type="cellIs" dxfId="2005" priority="289" stopIfTrue="1" operator="equal">
      <formula>$A$43</formula>
    </cfRule>
  </conditionalFormatting>
  <conditionalFormatting sqref="EP20">
    <cfRule type="cellIs" dxfId="2004" priority="288" stopIfTrue="1" operator="equal">
      <formula>$A$43</formula>
    </cfRule>
  </conditionalFormatting>
  <conditionalFormatting sqref="EP20">
    <cfRule type="cellIs" dxfId="2003" priority="287" stopIfTrue="1" operator="equal">
      <formula>$A$43</formula>
    </cfRule>
  </conditionalFormatting>
  <conditionalFormatting sqref="EP20">
    <cfRule type="cellIs" dxfId="2002" priority="286" stopIfTrue="1" operator="equal">
      <formula>$A$43</formula>
    </cfRule>
  </conditionalFormatting>
  <conditionalFormatting sqref="EP20">
    <cfRule type="cellIs" dxfId="2001" priority="285" stopIfTrue="1" operator="equal">
      <formula>$A$43</formula>
    </cfRule>
  </conditionalFormatting>
  <conditionalFormatting sqref="EP20">
    <cfRule type="cellIs" dxfId="2000" priority="284" stopIfTrue="1" operator="equal">
      <formula>$A$43</formula>
    </cfRule>
  </conditionalFormatting>
  <conditionalFormatting sqref="EP20">
    <cfRule type="cellIs" dxfId="1999" priority="283" stopIfTrue="1" operator="equal">
      <formula>$A$43</formula>
    </cfRule>
  </conditionalFormatting>
  <conditionalFormatting sqref="EP20">
    <cfRule type="cellIs" dxfId="1998" priority="282" stopIfTrue="1" operator="equal">
      <formula>$A$43</formula>
    </cfRule>
  </conditionalFormatting>
  <conditionalFormatting sqref="EP20">
    <cfRule type="cellIs" dxfId="1997" priority="281" stopIfTrue="1" operator="equal">
      <formula>$A$43</formula>
    </cfRule>
  </conditionalFormatting>
  <conditionalFormatting sqref="EP20">
    <cfRule type="cellIs" dxfId="1996" priority="280" stopIfTrue="1" operator="equal">
      <formula>$A$43</formula>
    </cfRule>
  </conditionalFormatting>
  <conditionalFormatting sqref="EP20">
    <cfRule type="cellIs" dxfId="1995" priority="279" stopIfTrue="1" operator="equal">
      <formula>$A$43</formula>
    </cfRule>
  </conditionalFormatting>
  <conditionalFormatting sqref="EP20">
    <cfRule type="cellIs" dxfId="1994" priority="278" stopIfTrue="1" operator="equal">
      <formula>$A$43</formula>
    </cfRule>
  </conditionalFormatting>
  <conditionalFormatting sqref="EP20">
    <cfRule type="cellIs" dxfId="1993" priority="277" stopIfTrue="1" operator="equal">
      <formula>$A$43</formula>
    </cfRule>
  </conditionalFormatting>
  <conditionalFormatting sqref="EP20">
    <cfRule type="cellIs" dxfId="1992" priority="276" stopIfTrue="1" operator="equal">
      <formula>$A$43</formula>
    </cfRule>
  </conditionalFormatting>
  <conditionalFormatting sqref="EP20">
    <cfRule type="cellIs" dxfId="1991" priority="275" stopIfTrue="1" operator="equal">
      <formula>$A$43</formula>
    </cfRule>
  </conditionalFormatting>
  <conditionalFormatting sqref="EP20">
    <cfRule type="cellIs" dxfId="1990" priority="274" stopIfTrue="1" operator="equal">
      <formula>$A$43</formula>
    </cfRule>
  </conditionalFormatting>
  <conditionalFormatting sqref="EP20">
    <cfRule type="cellIs" dxfId="1989" priority="273" stopIfTrue="1" operator="equal">
      <formula>$A$43</formula>
    </cfRule>
  </conditionalFormatting>
  <conditionalFormatting sqref="EP20">
    <cfRule type="cellIs" dxfId="1988" priority="272" stopIfTrue="1" operator="equal">
      <formula>$A$43</formula>
    </cfRule>
  </conditionalFormatting>
  <conditionalFormatting sqref="EP20">
    <cfRule type="cellIs" dxfId="1987" priority="271" stopIfTrue="1" operator="equal">
      <formula>$A$43</formula>
    </cfRule>
  </conditionalFormatting>
  <conditionalFormatting sqref="EP20">
    <cfRule type="cellIs" dxfId="1986" priority="270" stopIfTrue="1" operator="equal">
      <formula>$A$43</formula>
    </cfRule>
  </conditionalFormatting>
  <conditionalFormatting sqref="EP20">
    <cfRule type="cellIs" dxfId="1985" priority="269" stopIfTrue="1" operator="equal">
      <formula>$A$43</formula>
    </cfRule>
  </conditionalFormatting>
  <conditionalFormatting sqref="EP20">
    <cfRule type="cellIs" dxfId="1984" priority="268" stopIfTrue="1" operator="equal">
      <formula>$A$43</formula>
    </cfRule>
  </conditionalFormatting>
  <conditionalFormatting sqref="EP20">
    <cfRule type="cellIs" dxfId="1983" priority="267" stopIfTrue="1" operator="equal">
      <formula>$A$43</formula>
    </cfRule>
  </conditionalFormatting>
  <conditionalFormatting sqref="EP20">
    <cfRule type="cellIs" dxfId="1982" priority="266" stopIfTrue="1" operator="equal">
      <formula>$A$42</formula>
    </cfRule>
  </conditionalFormatting>
  <conditionalFormatting sqref="EP31">
    <cfRule type="cellIs" dxfId="1981" priority="262" stopIfTrue="1" operator="equal">
      <formula>$A$43</formula>
    </cfRule>
  </conditionalFormatting>
  <conditionalFormatting sqref="EP14">
    <cfRule type="cellIs" dxfId="1980" priority="261" stopIfTrue="1" operator="equal">
      <formula>$A$43</formula>
    </cfRule>
  </conditionalFormatting>
  <conditionalFormatting sqref="EP23">
    <cfRule type="cellIs" dxfId="1979" priority="260" stopIfTrue="1" operator="equal">
      <formula>$A$43</formula>
    </cfRule>
  </conditionalFormatting>
  <conditionalFormatting sqref="EQ25">
    <cfRule type="cellIs" dxfId="1978" priority="257" stopIfTrue="1" operator="equal">
      <formula>$A$43</formula>
    </cfRule>
  </conditionalFormatting>
  <conditionalFormatting sqref="EQ26:EQ27">
    <cfRule type="cellIs" dxfId="1977" priority="258" stopIfTrue="1" operator="equal">
      <formula>$A$43</formula>
    </cfRule>
  </conditionalFormatting>
  <conditionalFormatting sqref="EQ26:EQ27">
    <cfRule type="cellIs" dxfId="1976" priority="256" stopIfTrue="1" operator="equal">
      <formula>$A$43</formula>
    </cfRule>
  </conditionalFormatting>
  <conditionalFormatting sqref="EQ13">
    <cfRule type="cellIs" dxfId="1975" priority="255" stopIfTrue="1" operator="equal">
      <formula>$A$43</formula>
    </cfRule>
  </conditionalFormatting>
  <conditionalFormatting sqref="EQ13">
    <cfRule type="cellIs" dxfId="1974" priority="254" stopIfTrue="1" operator="equal">
      <formula>$A$43</formula>
    </cfRule>
  </conditionalFormatting>
  <conditionalFormatting sqref="EQ13">
    <cfRule type="cellIs" dxfId="1973" priority="253" stopIfTrue="1" operator="equal">
      <formula>$A$43</formula>
    </cfRule>
  </conditionalFormatting>
  <conditionalFormatting sqref="EQ13">
    <cfRule type="cellIs" dxfId="1972" priority="252" stopIfTrue="1" operator="equal">
      <formula>$A$43</formula>
    </cfRule>
  </conditionalFormatting>
  <conditionalFormatting sqref="EQ13">
    <cfRule type="cellIs" dxfId="1971" priority="251" stopIfTrue="1" operator="equal">
      <formula>$A$43</formula>
    </cfRule>
  </conditionalFormatting>
  <conditionalFormatting sqref="EQ13">
    <cfRule type="cellIs" dxfId="1970" priority="250" stopIfTrue="1" operator="equal">
      <formula>$A$43</formula>
    </cfRule>
  </conditionalFormatting>
  <conditionalFormatting sqref="EQ17">
    <cfRule type="cellIs" dxfId="1969" priority="249" stopIfTrue="1" operator="equal">
      <formula>$A$42</formula>
    </cfRule>
  </conditionalFormatting>
  <conditionalFormatting sqref="EQ16">
    <cfRule type="cellIs" dxfId="1968" priority="248" stopIfTrue="1" operator="equal">
      <formula>$A$42</formula>
    </cfRule>
  </conditionalFormatting>
  <conditionalFormatting sqref="EQ20">
    <cfRule type="cellIs" dxfId="1967" priority="247" stopIfTrue="1" operator="equal">
      <formula>$A$43</formula>
    </cfRule>
  </conditionalFormatting>
  <conditionalFormatting sqref="EQ20">
    <cfRule type="cellIs" dxfId="1966" priority="246" stopIfTrue="1" operator="equal">
      <formula>$A$43</formula>
    </cfRule>
  </conditionalFormatting>
  <conditionalFormatting sqref="EQ20">
    <cfRule type="cellIs" dxfId="1965" priority="245" stopIfTrue="1" operator="equal">
      <formula>$A$43</formula>
    </cfRule>
  </conditionalFormatting>
  <conditionalFormatting sqref="EQ20">
    <cfRule type="cellIs" dxfId="1964" priority="244" stopIfTrue="1" operator="equal">
      <formula>$A$43</formula>
    </cfRule>
  </conditionalFormatting>
  <conditionalFormatting sqref="EQ20">
    <cfRule type="cellIs" dxfId="1963" priority="243" stopIfTrue="1" operator="equal">
      <formula>$A$43</formula>
    </cfRule>
  </conditionalFormatting>
  <conditionalFormatting sqref="EQ20">
    <cfRule type="cellIs" dxfId="1962" priority="242" stopIfTrue="1" operator="equal">
      <formula>$A$43</formula>
    </cfRule>
  </conditionalFormatting>
  <conditionalFormatting sqref="EQ20">
    <cfRule type="cellIs" dxfId="1961" priority="241" stopIfTrue="1" operator="equal">
      <formula>$A$43</formula>
    </cfRule>
  </conditionalFormatting>
  <conditionalFormatting sqref="EQ20">
    <cfRule type="cellIs" dxfId="1960" priority="240" stopIfTrue="1" operator="equal">
      <formula>$A$43</formula>
    </cfRule>
  </conditionalFormatting>
  <conditionalFormatting sqref="EQ20">
    <cfRule type="cellIs" dxfId="1959" priority="239" stopIfTrue="1" operator="equal">
      <formula>$A$43</formula>
    </cfRule>
  </conditionalFormatting>
  <conditionalFormatting sqref="EQ20">
    <cfRule type="cellIs" dxfId="1958" priority="238" stopIfTrue="1" operator="equal">
      <formula>$A$43</formula>
    </cfRule>
  </conditionalFormatting>
  <conditionalFormatting sqref="EQ20">
    <cfRule type="cellIs" dxfId="1957" priority="237" stopIfTrue="1" operator="equal">
      <formula>$A$43</formula>
    </cfRule>
  </conditionalFormatting>
  <conditionalFormatting sqref="EQ20">
    <cfRule type="cellIs" dxfId="1956" priority="236" stopIfTrue="1" operator="equal">
      <formula>$A$43</formula>
    </cfRule>
  </conditionalFormatting>
  <conditionalFormatting sqref="EQ20">
    <cfRule type="cellIs" dxfId="1955" priority="235" stopIfTrue="1" operator="equal">
      <formula>$A$43</formula>
    </cfRule>
  </conditionalFormatting>
  <conditionalFormatting sqref="EQ20">
    <cfRule type="cellIs" dxfId="1954" priority="234" stopIfTrue="1" operator="equal">
      <formula>$A$43</formula>
    </cfRule>
  </conditionalFormatting>
  <conditionalFormatting sqref="EQ20">
    <cfRule type="cellIs" dxfId="1953" priority="233" stopIfTrue="1" operator="equal">
      <formula>$A$43</formula>
    </cfRule>
  </conditionalFormatting>
  <conditionalFormatting sqref="EQ20">
    <cfRule type="cellIs" dxfId="1952" priority="232" stopIfTrue="1" operator="equal">
      <formula>$A$43</formula>
    </cfRule>
  </conditionalFormatting>
  <conditionalFormatting sqref="EQ20">
    <cfRule type="cellIs" dxfId="1951" priority="231" stopIfTrue="1" operator="equal">
      <formula>$A$43</formula>
    </cfRule>
  </conditionalFormatting>
  <conditionalFormatting sqref="EQ20">
    <cfRule type="cellIs" dxfId="1950" priority="230" stopIfTrue="1" operator="equal">
      <formula>$A$43</formula>
    </cfRule>
  </conditionalFormatting>
  <conditionalFormatting sqref="EQ20">
    <cfRule type="cellIs" dxfId="1949" priority="229" stopIfTrue="1" operator="equal">
      <formula>$A$43</formula>
    </cfRule>
  </conditionalFormatting>
  <conditionalFormatting sqref="EQ20">
    <cfRule type="cellIs" dxfId="1948" priority="228" stopIfTrue="1" operator="equal">
      <formula>$A$43</formula>
    </cfRule>
  </conditionalFormatting>
  <conditionalFormatting sqref="EQ20">
    <cfRule type="cellIs" dxfId="1947" priority="227" stopIfTrue="1" operator="equal">
      <formula>$A$43</formula>
    </cfRule>
  </conditionalFormatting>
  <conditionalFormatting sqref="EQ20">
    <cfRule type="cellIs" dxfId="1946" priority="226" stopIfTrue="1" operator="equal">
      <formula>$A$43</formula>
    </cfRule>
  </conditionalFormatting>
  <conditionalFormatting sqref="EQ20">
    <cfRule type="cellIs" dxfId="1945" priority="225" stopIfTrue="1" operator="equal">
      <formula>$A$43</formula>
    </cfRule>
  </conditionalFormatting>
  <conditionalFormatting sqref="EQ20">
    <cfRule type="cellIs" dxfId="1944" priority="224" stopIfTrue="1" operator="equal">
      <formula>$A$43</formula>
    </cfRule>
  </conditionalFormatting>
  <conditionalFormatting sqref="EQ20">
    <cfRule type="cellIs" dxfId="1943" priority="223" stopIfTrue="1" operator="equal">
      <formula>$A$43</formula>
    </cfRule>
  </conditionalFormatting>
  <conditionalFormatting sqref="EQ20">
    <cfRule type="cellIs" dxfId="1942" priority="222" stopIfTrue="1" operator="equal">
      <formula>$A$43</formula>
    </cfRule>
  </conditionalFormatting>
  <conditionalFormatting sqref="EQ20">
    <cfRule type="cellIs" dxfId="1941" priority="221" stopIfTrue="1" operator="equal">
      <formula>$A$43</formula>
    </cfRule>
  </conditionalFormatting>
  <conditionalFormatting sqref="EQ20">
    <cfRule type="cellIs" dxfId="1940" priority="220" stopIfTrue="1" operator="equal">
      <formula>$A$43</formula>
    </cfRule>
  </conditionalFormatting>
  <conditionalFormatting sqref="EQ20">
    <cfRule type="cellIs" dxfId="1939" priority="219" stopIfTrue="1" operator="equal">
      <formula>$A$43</formula>
    </cfRule>
  </conditionalFormatting>
  <conditionalFormatting sqref="EQ20">
    <cfRule type="cellIs" dxfId="1938" priority="218" stopIfTrue="1" operator="equal">
      <formula>$A$43</formula>
    </cfRule>
  </conditionalFormatting>
  <conditionalFormatting sqref="EQ20">
    <cfRule type="cellIs" dxfId="1937" priority="217" stopIfTrue="1" operator="equal">
      <formula>$A$42</formula>
    </cfRule>
  </conditionalFormatting>
  <conditionalFormatting sqref="EQ31">
    <cfRule type="cellIs" dxfId="1936" priority="213" stopIfTrue="1" operator="equal">
      <formula>$A$43</formula>
    </cfRule>
  </conditionalFormatting>
  <conditionalFormatting sqref="EQ14">
    <cfRule type="cellIs" dxfId="1935" priority="212" stopIfTrue="1" operator="equal">
      <formula>$A$43</formula>
    </cfRule>
  </conditionalFormatting>
  <conditionalFormatting sqref="EQ23">
    <cfRule type="cellIs" dxfId="1934" priority="211" stopIfTrue="1" operator="equal">
      <formula>$A$43</formula>
    </cfRule>
  </conditionalFormatting>
  <conditionalFormatting sqref="ER8">
    <cfRule type="cellIs" dxfId="1933" priority="161" stopIfTrue="1" operator="equal">
      <formula>$A$43</formula>
    </cfRule>
  </conditionalFormatting>
  <conditionalFormatting sqref="ER15">
    <cfRule type="cellIs" dxfId="1932" priority="154" stopIfTrue="1" operator="equal">
      <formula>$A$43</formula>
    </cfRule>
  </conditionalFormatting>
  <conditionalFormatting sqref="ER24">
    <cfRule type="cellIs" dxfId="1931" priority="153" stopIfTrue="1" operator="equal">
      <formula>$A$43</formula>
    </cfRule>
  </conditionalFormatting>
  <conditionalFormatting sqref="ER27">
    <cfRule type="cellIs" dxfId="1930" priority="152" stopIfTrue="1" operator="equal">
      <formula>$A$43</formula>
    </cfRule>
  </conditionalFormatting>
  <conditionalFormatting sqref="EO26:EO27">
    <cfRule type="cellIs" dxfId="1929" priority="148" stopIfTrue="1" operator="equal">
      <formula>$A$43</formula>
    </cfRule>
  </conditionalFormatting>
  <conditionalFormatting sqref="EO26:EO27">
    <cfRule type="cellIs" dxfId="1928" priority="146" stopIfTrue="1" operator="equal">
      <formula>$A$43</formula>
    </cfRule>
  </conditionalFormatting>
  <conditionalFormatting sqref="EO13">
    <cfRule type="cellIs" dxfId="1927" priority="145" stopIfTrue="1" operator="equal">
      <formula>$A$43</formula>
    </cfRule>
  </conditionalFormatting>
  <conditionalFormatting sqref="EO13">
    <cfRule type="cellIs" dxfId="1926" priority="144" stopIfTrue="1" operator="equal">
      <formula>$A$43</formula>
    </cfRule>
  </conditionalFormatting>
  <conditionalFormatting sqref="EO13">
    <cfRule type="cellIs" dxfId="1925" priority="143" stopIfTrue="1" operator="equal">
      <formula>$A$43</formula>
    </cfRule>
  </conditionalFormatting>
  <conditionalFormatting sqref="EO13">
    <cfRule type="cellIs" dxfId="1924" priority="142" stopIfTrue="1" operator="equal">
      <formula>$A$43</formula>
    </cfRule>
  </conditionalFormatting>
  <conditionalFormatting sqref="EO13">
    <cfRule type="cellIs" dxfId="1923" priority="141" stopIfTrue="1" operator="equal">
      <formula>$A$43</formula>
    </cfRule>
  </conditionalFormatting>
  <conditionalFormatting sqref="EO13">
    <cfRule type="cellIs" dxfId="1922" priority="140" stopIfTrue="1" operator="equal">
      <formula>$A$43</formula>
    </cfRule>
  </conditionalFormatting>
  <conditionalFormatting sqref="EO20">
    <cfRule type="cellIs" dxfId="1921" priority="137" stopIfTrue="1" operator="equal">
      <formula>$A$43</formula>
    </cfRule>
  </conditionalFormatting>
  <conditionalFormatting sqref="EO20">
    <cfRule type="cellIs" dxfId="1920" priority="136" stopIfTrue="1" operator="equal">
      <formula>$A$43</formula>
    </cfRule>
  </conditionalFormatting>
  <conditionalFormatting sqref="EO20">
    <cfRule type="cellIs" dxfId="1919" priority="135" stopIfTrue="1" operator="equal">
      <formula>$A$43</formula>
    </cfRule>
  </conditionalFormatting>
  <conditionalFormatting sqref="EO20">
    <cfRule type="cellIs" dxfId="1918" priority="134" stopIfTrue="1" operator="equal">
      <formula>$A$43</formula>
    </cfRule>
  </conditionalFormatting>
  <conditionalFormatting sqref="EO20">
    <cfRule type="cellIs" dxfId="1917" priority="133" stopIfTrue="1" operator="equal">
      <formula>$A$43</formula>
    </cfRule>
  </conditionalFormatting>
  <conditionalFormatting sqref="EO20">
    <cfRule type="cellIs" dxfId="1916" priority="132" stopIfTrue="1" operator="equal">
      <formula>$A$43</formula>
    </cfRule>
  </conditionalFormatting>
  <conditionalFormatting sqref="EO20">
    <cfRule type="cellIs" dxfId="1915" priority="131" stopIfTrue="1" operator="equal">
      <formula>$A$43</formula>
    </cfRule>
  </conditionalFormatting>
  <conditionalFormatting sqref="EO20">
    <cfRule type="cellIs" dxfId="1914" priority="130" stopIfTrue="1" operator="equal">
      <formula>$A$43</formula>
    </cfRule>
  </conditionalFormatting>
  <conditionalFormatting sqref="EO20">
    <cfRule type="cellIs" dxfId="1913" priority="129" stopIfTrue="1" operator="equal">
      <formula>$A$43</formula>
    </cfRule>
  </conditionalFormatting>
  <conditionalFormatting sqref="EO20">
    <cfRule type="cellIs" dxfId="1912" priority="128" stopIfTrue="1" operator="equal">
      <formula>$A$43</formula>
    </cfRule>
  </conditionalFormatting>
  <conditionalFormatting sqref="EO20">
    <cfRule type="cellIs" dxfId="1911" priority="127" stopIfTrue="1" operator="equal">
      <formula>$A$43</formula>
    </cfRule>
  </conditionalFormatting>
  <conditionalFormatting sqref="EO20">
    <cfRule type="cellIs" dxfId="1910" priority="126" stopIfTrue="1" operator="equal">
      <formula>$A$43</formula>
    </cfRule>
  </conditionalFormatting>
  <conditionalFormatting sqref="EO20">
    <cfRule type="cellIs" dxfId="1909" priority="125" stopIfTrue="1" operator="equal">
      <formula>$A$43</formula>
    </cfRule>
  </conditionalFormatting>
  <conditionalFormatting sqref="EO20">
    <cfRule type="cellIs" dxfId="1908" priority="124" stopIfTrue="1" operator="equal">
      <formula>$A$43</formula>
    </cfRule>
  </conditionalFormatting>
  <conditionalFormatting sqref="EO20">
    <cfRule type="cellIs" dxfId="1907" priority="123" stopIfTrue="1" operator="equal">
      <formula>$A$43</formula>
    </cfRule>
  </conditionalFormatting>
  <conditionalFormatting sqref="EO20">
    <cfRule type="cellIs" dxfId="1906" priority="122" stopIfTrue="1" operator="equal">
      <formula>$A$43</formula>
    </cfRule>
  </conditionalFormatting>
  <conditionalFormatting sqref="EO20">
    <cfRule type="cellIs" dxfId="1905" priority="121" stopIfTrue="1" operator="equal">
      <formula>$A$43</formula>
    </cfRule>
  </conditionalFormatting>
  <conditionalFormatting sqref="EO20">
    <cfRule type="cellIs" dxfId="1904" priority="120" stopIfTrue="1" operator="equal">
      <formula>$A$43</formula>
    </cfRule>
  </conditionalFormatting>
  <conditionalFormatting sqref="EO20">
    <cfRule type="cellIs" dxfId="1903" priority="119" stopIfTrue="1" operator="equal">
      <formula>$A$43</formula>
    </cfRule>
  </conditionalFormatting>
  <conditionalFormatting sqref="EO20">
    <cfRule type="cellIs" dxfId="1902" priority="118" stopIfTrue="1" operator="equal">
      <formula>$A$43</formula>
    </cfRule>
  </conditionalFormatting>
  <conditionalFormatting sqref="EO20">
    <cfRule type="cellIs" dxfId="1901" priority="117" stopIfTrue="1" operator="equal">
      <formula>$A$43</formula>
    </cfRule>
  </conditionalFormatting>
  <conditionalFormatting sqref="EO20">
    <cfRule type="cellIs" dxfId="1900" priority="116" stopIfTrue="1" operator="equal">
      <formula>$A$43</formula>
    </cfRule>
  </conditionalFormatting>
  <conditionalFormatting sqref="EO20">
    <cfRule type="cellIs" dxfId="1899" priority="115" stopIfTrue="1" operator="equal">
      <formula>$A$43</formula>
    </cfRule>
  </conditionalFormatting>
  <conditionalFormatting sqref="EO20">
    <cfRule type="cellIs" dxfId="1898" priority="114" stopIfTrue="1" operator="equal">
      <formula>$A$43</formula>
    </cfRule>
  </conditionalFormatting>
  <conditionalFormatting sqref="EO20">
    <cfRule type="cellIs" dxfId="1897" priority="113" stopIfTrue="1" operator="equal">
      <formula>$A$43</formula>
    </cfRule>
  </conditionalFormatting>
  <conditionalFormatting sqref="EO20">
    <cfRule type="cellIs" dxfId="1896" priority="112" stopIfTrue="1" operator="equal">
      <formula>$A$43</formula>
    </cfRule>
  </conditionalFormatting>
  <conditionalFormatting sqref="EO20">
    <cfRule type="cellIs" dxfId="1895" priority="111" stopIfTrue="1" operator="equal">
      <formula>$A$43</formula>
    </cfRule>
  </conditionalFormatting>
  <conditionalFormatting sqref="EO20">
    <cfRule type="cellIs" dxfId="1894" priority="110" stopIfTrue="1" operator="equal">
      <formula>$A$43</formula>
    </cfRule>
  </conditionalFormatting>
  <conditionalFormatting sqref="EO20">
    <cfRule type="cellIs" dxfId="1893" priority="109" stopIfTrue="1" operator="equal">
      <formula>$A$43</formula>
    </cfRule>
  </conditionalFormatting>
  <conditionalFormatting sqref="EO20">
    <cfRule type="cellIs" dxfId="1892" priority="108" stopIfTrue="1" operator="equal">
      <formula>$A$43</formula>
    </cfRule>
  </conditionalFormatting>
  <conditionalFormatting sqref="EO20">
    <cfRule type="cellIs" dxfId="1891" priority="107" stopIfTrue="1" operator="equal">
      <formula>$A$42</formula>
    </cfRule>
  </conditionalFormatting>
  <conditionalFormatting sqref="ES8">
    <cfRule type="cellIs" dxfId="1890" priority="103" stopIfTrue="1" operator="equal">
      <formula>$A$43</formula>
    </cfRule>
  </conditionalFormatting>
  <conditionalFormatting sqref="ES15">
    <cfRule type="cellIs" dxfId="1889" priority="102" stopIfTrue="1" operator="equal">
      <formula>$A$43</formula>
    </cfRule>
  </conditionalFormatting>
  <conditionalFormatting sqref="ES24">
    <cfRule type="cellIs" dxfId="1888" priority="101" stopIfTrue="1" operator="equal">
      <formula>$A$43</formula>
    </cfRule>
  </conditionalFormatting>
  <conditionalFormatting sqref="ES27">
    <cfRule type="cellIs" dxfId="1887" priority="100" stopIfTrue="1" operator="equal">
      <formula>$A$43</formula>
    </cfRule>
  </conditionalFormatting>
  <conditionalFormatting sqref="ES11">
    <cfRule type="cellIs" dxfId="1886" priority="96" stopIfTrue="1" operator="equal">
      <formula>$A$42</formula>
    </cfRule>
  </conditionalFormatting>
  <conditionalFormatting sqref="ES13">
    <cfRule type="cellIs" dxfId="1885" priority="94" stopIfTrue="1" operator="equal">
      <formula>$A$43</formula>
    </cfRule>
  </conditionalFormatting>
  <conditionalFormatting sqref="ES13">
    <cfRule type="cellIs" dxfId="1884" priority="93" stopIfTrue="1" operator="equal">
      <formula>$A$43</formula>
    </cfRule>
  </conditionalFormatting>
  <conditionalFormatting sqref="ES13">
    <cfRule type="cellIs" dxfId="1883" priority="92" stopIfTrue="1" operator="equal">
      <formula>$A$43</formula>
    </cfRule>
  </conditionalFormatting>
  <conditionalFormatting sqref="ES13">
    <cfRule type="cellIs" dxfId="1882" priority="91" stopIfTrue="1" operator="equal">
      <formula>$A$43</formula>
    </cfRule>
  </conditionalFormatting>
  <conditionalFormatting sqref="ES13">
    <cfRule type="cellIs" dxfId="1881" priority="90" stopIfTrue="1" operator="equal">
      <formula>$A$43</formula>
    </cfRule>
  </conditionalFormatting>
  <conditionalFormatting sqref="ES13">
    <cfRule type="cellIs" dxfId="1880" priority="89" stopIfTrue="1" operator="equal">
      <formula>$A$43</formula>
    </cfRule>
  </conditionalFormatting>
  <conditionalFormatting sqref="ES16:ES22">
    <cfRule type="cellIs" dxfId="1879" priority="87" stopIfTrue="1" operator="equal">
      <formula>$A$43</formula>
    </cfRule>
  </conditionalFormatting>
  <conditionalFormatting sqref="ES17">
    <cfRule type="cellIs" dxfId="1878" priority="88" stopIfTrue="1" operator="equal">
      <formula>$A$42</formula>
    </cfRule>
  </conditionalFormatting>
  <conditionalFormatting sqref="ES17">
    <cfRule type="cellIs" dxfId="1877" priority="86" stopIfTrue="1" operator="equal">
      <formula>$A$42</formula>
    </cfRule>
  </conditionalFormatting>
  <conditionalFormatting sqref="ES16">
    <cfRule type="cellIs" dxfId="1876" priority="85" stopIfTrue="1" operator="equal">
      <formula>$A$42</formula>
    </cfRule>
  </conditionalFormatting>
  <conditionalFormatting sqref="ES20">
    <cfRule type="cellIs" dxfId="1875" priority="84" stopIfTrue="1" operator="equal">
      <formula>$A$43</formula>
    </cfRule>
  </conditionalFormatting>
  <conditionalFormatting sqref="ES20">
    <cfRule type="cellIs" dxfId="1874" priority="83" stopIfTrue="1" operator="equal">
      <formula>$A$43</formula>
    </cfRule>
  </conditionalFormatting>
  <conditionalFormatting sqref="ES20">
    <cfRule type="cellIs" dxfId="1873" priority="82" stopIfTrue="1" operator="equal">
      <formula>$A$43</formula>
    </cfRule>
  </conditionalFormatting>
  <conditionalFormatting sqref="ES20">
    <cfRule type="cellIs" dxfId="1872" priority="81" stopIfTrue="1" operator="equal">
      <formula>$A$43</formula>
    </cfRule>
  </conditionalFormatting>
  <conditionalFormatting sqref="ES20">
    <cfRule type="cellIs" dxfId="1871" priority="80" stopIfTrue="1" operator="equal">
      <formula>$A$43</formula>
    </cfRule>
  </conditionalFormatting>
  <conditionalFormatting sqref="ES20">
    <cfRule type="cellIs" dxfId="1870" priority="79" stopIfTrue="1" operator="equal">
      <formula>$A$43</formula>
    </cfRule>
  </conditionalFormatting>
  <conditionalFormatting sqref="ES20">
    <cfRule type="cellIs" dxfId="1869" priority="78" stopIfTrue="1" operator="equal">
      <formula>$A$43</formula>
    </cfRule>
  </conditionalFormatting>
  <conditionalFormatting sqref="ES20">
    <cfRule type="cellIs" dxfId="1868" priority="77" stopIfTrue="1" operator="equal">
      <formula>$A$43</formula>
    </cfRule>
  </conditionalFormatting>
  <conditionalFormatting sqref="ES20">
    <cfRule type="cellIs" dxfId="1867" priority="76" stopIfTrue="1" operator="equal">
      <formula>$A$43</formula>
    </cfRule>
  </conditionalFormatting>
  <conditionalFormatting sqref="ES20">
    <cfRule type="cellIs" dxfId="1866" priority="75" stopIfTrue="1" operator="equal">
      <formula>$A$43</formula>
    </cfRule>
  </conditionalFormatting>
  <conditionalFormatting sqref="ES20">
    <cfRule type="cellIs" dxfId="1865" priority="74" stopIfTrue="1" operator="equal">
      <formula>$A$43</formula>
    </cfRule>
  </conditionalFormatting>
  <conditionalFormatting sqref="ES20">
    <cfRule type="cellIs" dxfId="1864" priority="73" stopIfTrue="1" operator="equal">
      <formula>$A$43</formula>
    </cfRule>
  </conditionalFormatting>
  <conditionalFormatting sqref="ES20">
    <cfRule type="cellIs" dxfId="1863" priority="72" stopIfTrue="1" operator="equal">
      <formula>$A$43</formula>
    </cfRule>
  </conditionalFormatting>
  <conditionalFormatting sqref="ES20">
    <cfRule type="cellIs" dxfId="1862" priority="71" stopIfTrue="1" operator="equal">
      <formula>$A$43</formula>
    </cfRule>
  </conditionalFormatting>
  <conditionalFormatting sqref="ES20">
    <cfRule type="cellIs" dxfId="1861" priority="70" stopIfTrue="1" operator="equal">
      <formula>$A$43</formula>
    </cfRule>
  </conditionalFormatting>
  <conditionalFormatting sqref="ES20">
    <cfRule type="cellIs" dxfId="1860" priority="69" stopIfTrue="1" operator="equal">
      <formula>$A$43</formula>
    </cfRule>
  </conditionalFormatting>
  <conditionalFormatting sqref="ES20">
    <cfRule type="cellIs" dxfId="1859" priority="68" stopIfTrue="1" operator="equal">
      <formula>$A$43</formula>
    </cfRule>
  </conditionalFormatting>
  <conditionalFormatting sqref="ES20">
    <cfRule type="cellIs" dxfId="1858" priority="67" stopIfTrue="1" operator="equal">
      <formula>$A$43</formula>
    </cfRule>
  </conditionalFormatting>
  <conditionalFormatting sqref="ES20">
    <cfRule type="cellIs" dxfId="1857" priority="66" stopIfTrue="1" operator="equal">
      <formula>$A$43</formula>
    </cfRule>
  </conditionalFormatting>
  <conditionalFormatting sqref="ES20">
    <cfRule type="cellIs" dxfId="1856" priority="65" stopIfTrue="1" operator="equal">
      <formula>$A$43</formula>
    </cfRule>
  </conditionalFormatting>
  <conditionalFormatting sqref="ES20">
    <cfRule type="cellIs" dxfId="1855" priority="64" stopIfTrue="1" operator="equal">
      <formula>$A$43</formula>
    </cfRule>
  </conditionalFormatting>
  <conditionalFormatting sqref="ES20">
    <cfRule type="cellIs" dxfId="1854" priority="63" stopIfTrue="1" operator="equal">
      <formula>$A$43</formula>
    </cfRule>
  </conditionalFormatting>
  <conditionalFormatting sqref="ES20">
    <cfRule type="cellIs" dxfId="1853" priority="62" stopIfTrue="1" operator="equal">
      <formula>$A$43</formula>
    </cfRule>
  </conditionalFormatting>
  <conditionalFormatting sqref="ES20">
    <cfRule type="cellIs" dxfId="1852" priority="61" stopIfTrue="1" operator="equal">
      <formula>$A$43</formula>
    </cfRule>
  </conditionalFormatting>
  <conditionalFormatting sqref="ES20">
    <cfRule type="cellIs" dxfId="1851" priority="60" stopIfTrue="1" operator="equal">
      <formula>$A$43</formula>
    </cfRule>
  </conditionalFormatting>
  <conditionalFormatting sqref="ES20">
    <cfRule type="cellIs" dxfId="1850" priority="59" stopIfTrue="1" operator="equal">
      <formula>$A$43</formula>
    </cfRule>
  </conditionalFormatting>
  <conditionalFormatting sqref="ES20">
    <cfRule type="cellIs" dxfId="1849" priority="58" stopIfTrue="1" operator="equal">
      <formula>$A$43</formula>
    </cfRule>
  </conditionalFormatting>
  <conditionalFormatting sqref="ES20">
    <cfRule type="cellIs" dxfId="1848" priority="57" stopIfTrue="1" operator="equal">
      <formula>$A$43</formula>
    </cfRule>
  </conditionalFormatting>
  <conditionalFormatting sqref="ES20">
    <cfRule type="cellIs" dxfId="1847" priority="56" stopIfTrue="1" operator="equal">
      <formula>$A$43</formula>
    </cfRule>
  </conditionalFormatting>
  <conditionalFormatting sqref="ES20">
    <cfRule type="cellIs" dxfId="1846" priority="55" stopIfTrue="1" operator="equal">
      <formula>$A$43</formula>
    </cfRule>
  </conditionalFormatting>
  <conditionalFormatting sqref="ES20">
    <cfRule type="cellIs" dxfId="1845" priority="54" stopIfTrue="1" operator="equal">
      <formula>$A$42</formula>
    </cfRule>
  </conditionalFormatting>
  <conditionalFormatting sqref="ES25">
    <cfRule type="cellIs" dxfId="1844" priority="52" stopIfTrue="1" operator="equal">
      <formula>$A$43</formula>
    </cfRule>
  </conditionalFormatting>
  <conditionalFormatting sqref="ES28:ES29">
    <cfRule type="cellIs" dxfId="1843" priority="50" stopIfTrue="1" operator="equal">
      <formula>$A$43</formula>
    </cfRule>
  </conditionalFormatting>
  <conditionalFormatting sqref="ES14">
    <cfRule type="cellIs" dxfId="1842" priority="42" stopIfTrue="1" operator="equal">
      <formula>$A$43</formula>
    </cfRule>
  </conditionalFormatting>
  <conditionalFormatting sqref="ES23">
    <cfRule type="cellIs" dxfId="1841" priority="41" stopIfTrue="1" operator="equal">
      <formula>$A$43</formula>
    </cfRule>
  </conditionalFormatting>
  <conditionalFormatting sqref="ET8">
    <cfRule type="cellIs" dxfId="1840" priority="28" stopIfTrue="1" operator="equal">
      <formula>$A$43</formula>
    </cfRule>
  </conditionalFormatting>
  <conditionalFormatting sqref="ET15">
    <cfRule type="cellIs" dxfId="1839" priority="27" stopIfTrue="1" operator="equal">
      <formula>$A$43</formula>
    </cfRule>
  </conditionalFormatting>
  <conditionalFormatting sqref="ET24">
    <cfRule type="cellIs" dxfId="1838" priority="26" stopIfTrue="1" operator="equal">
      <formula>$A$43</formula>
    </cfRule>
  </conditionalFormatting>
  <conditionalFormatting sqref="ET27">
    <cfRule type="cellIs" dxfId="1837" priority="25" stopIfTrue="1" operator="equal">
      <formula>$A$43</formula>
    </cfRule>
  </conditionalFormatting>
  <conditionalFormatting sqref="ET14">
    <cfRule type="cellIs" dxfId="1836" priority="22" stopIfTrue="1" operator="equal">
      <formula>$A$43</formula>
    </cfRule>
  </conditionalFormatting>
  <conditionalFormatting sqref="EU8">
    <cfRule type="cellIs" dxfId="1835" priority="21" stopIfTrue="1" operator="equal">
      <formula>$A$43</formula>
    </cfRule>
  </conditionalFormatting>
  <conditionalFormatting sqref="EU15">
    <cfRule type="cellIs" dxfId="1834" priority="20" stopIfTrue="1" operator="equal">
      <formula>$A$43</formula>
    </cfRule>
  </conditionalFormatting>
  <conditionalFormatting sqref="EU24">
    <cfRule type="cellIs" dxfId="1833" priority="19" stopIfTrue="1" operator="equal">
      <formula>$A$43</formula>
    </cfRule>
  </conditionalFormatting>
  <conditionalFormatting sqref="EU27">
    <cfRule type="cellIs" dxfId="1832" priority="18" stopIfTrue="1" operator="equal">
      <formula>$A$43</formula>
    </cfRule>
  </conditionalFormatting>
  <conditionalFormatting sqref="EU14">
    <cfRule type="cellIs" dxfId="1831" priority="15" stopIfTrue="1" operator="equal">
      <formula>$A$43</formula>
    </cfRule>
  </conditionalFormatting>
  <conditionalFormatting sqref="EU23">
    <cfRule type="cellIs" dxfId="1830" priority="14" stopIfTrue="1" operator="equal">
      <formula>$A$43</formula>
    </cfRule>
  </conditionalFormatting>
  <conditionalFormatting sqref="I10:R10">
    <cfRule type="cellIs" dxfId="1829" priority="3129" stopIfTrue="1" operator="equal">
      <formula>$B$42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U39"/>
  <sheetViews>
    <sheetView zoomScale="81" zoomScaleNormal="81" workbookViewId="0">
      <pane xSplit="1" topLeftCell="EC1" activePane="topRight" state="frozen"/>
      <selection pane="topRight" activeCell="EO33" sqref="EO33"/>
    </sheetView>
  </sheetViews>
  <sheetFormatPr baseColWidth="10" defaultColWidth="11.42578125" defaultRowHeight="12.75"/>
  <cols>
    <col min="1" max="1" width="29.28515625" style="8"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853"/>
    <col min="152" max="16384" width="11.42578125" style="8"/>
  </cols>
  <sheetData>
    <row r="1" spans="1:151" ht="13.5" thickBot="1">
      <c r="A1" s="8">
        <v>4</v>
      </c>
      <c r="DF1" s="31" t="s">
        <v>533</v>
      </c>
    </row>
    <row r="2" spans="1:151">
      <c r="A2">
        <f>Criterios!C8</f>
        <v>0</v>
      </c>
      <c r="B2">
        <f>Criterios!B8</f>
        <v>0</v>
      </c>
    </row>
    <row r="3" spans="1:151" ht="13.5" thickBot="1">
      <c r="A3" t="str">
        <f>Criterios!A9</f>
        <v>Tribunales de Justicia</v>
      </c>
      <c r="B3" t="str">
        <f>Criterios!B9</f>
        <v>ANDALUCIA</v>
      </c>
    </row>
    <row r="4" spans="1:151" ht="13.5" thickBot="1">
      <c r="A4" t="str">
        <f>Criterios!A10</f>
        <v>Provincias</v>
      </c>
      <c r="B4" t="str">
        <f>Criterios!B10</f>
        <v>MALAGA</v>
      </c>
      <c r="CE4" s="1774" t="s">
        <v>353</v>
      </c>
      <c r="CF4" s="1775"/>
      <c r="CG4" s="1775"/>
      <c r="CH4" s="1776"/>
    </row>
    <row r="5" spans="1:151" ht="12.75" customHeight="1" thickBot="1">
      <c r="A5" s="1800" t="str">
        <f>"Año:  " &amp;Criterios!B5 &amp; "                  Trimestre   " &amp;Criterios!D5 &amp; " al " &amp;Criterios!D6</f>
        <v>Año:  2021                  Trimestre   1 al 4</v>
      </c>
      <c r="B5" s="1802" t="s">
        <v>520</v>
      </c>
      <c r="C5" s="1805" t="s">
        <v>49</v>
      </c>
      <c r="D5" s="1811" t="s">
        <v>40</v>
      </c>
      <c r="E5" s="1812"/>
      <c r="F5" s="1812"/>
      <c r="G5" s="1812"/>
      <c r="H5" s="1813"/>
      <c r="I5" s="1817" t="s">
        <v>84</v>
      </c>
      <c r="J5" s="1818"/>
      <c r="K5" s="1818"/>
      <c r="L5" s="1818"/>
      <c r="M5" s="1818"/>
      <c r="N5" s="1818"/>
      <c r="O5" s="1818"/>
      <c r="P5" s="1818"/>
      <c r="Q5" s="1818"/>
      <c r="R5" s="1818"/>
      <c r="S5" s="1818"/>
      <c r="T5" s="1818"/>
      <c r="U5" s="1818"/>
      <c r="V5" s="1818"/>
      <c r="W5" s="1818"/>
      <c r="X5" s="1818"/>
      <c r="Y5" s="1818"/>
      <c r="Z5" s="1818"/>
      <c r="AA5" s="1818"/>
      <c r="AB5" s="1818"/>
      <c r="AC5" s="1818"/>
      <c r="AD5" s="1818"/>
      <c r="AE5" s="1818"/>
      <c r="AF5" s="1818"/>
      <c r="AG5" s="1818"/>
      <c r="AH5" s="1818"/>
      <c r="AI5" s="1818"/>
      <c r="AJ5" s="1818"/>
      <c r="AK5" s="1818"/>
      <c r="AL5" s="1818"/>
      <c r="AM5" s="1818"/>
      <c r="AN5" s="1818"/>
      <c r="AO5" s="1777" t="s">
        <v>179</v>
      </c>
      <c r="AP5" s="1777" t="s">
        <v>180</v>
      </c>
      <c r="AQ5" s="1777" t="s">
        <v>123</v>
      </c>
      <c r="AR5" s="1777" t="s">
        <v>181</v>
      </c>
      <c r="AS5" s="1789" t="s">
        <v>218</v>
      </c>
      <c r="AT5" s="1789" t="s">
        <v>219</v>
      </c>
      <c r="AU5" s="1789" t="s">
        <v>310</v>
      </c>
      <c r="AV5" s="1789" t="s">
        <v>308</v>
      </c>
      <c r="AW5" s="1789" t="s">
        <v>311</v>
      </c>
      <c r="AX5" s="1789" t="s">
        <v>309</v>
      </c>
      <c r="AY5" s="1783" t="s">
        <v>155</v>
      </c>
      <c r="AZ5" s="1836"/>
      <c r="BA5" s="1836"/>
      <c r="BB5" s="1836"/>
      <c r="BC5" s="1837"/>
      <c r="BD5" s="1783" t="s">
        <v>156</v>
      </c>
      <c r="BE5" s="1784"/>
      <c r="BF5" s="1784"/>
      <c r="BG5" s="1785"/>
      <c r="BH5" s="1777" t="s">
        <v>195</v>
      </c>
      <c r="BI5" s="1777" t="s">
        <v>196</v>
      </c>
      <c r="BJ5" s="1833" t="s">
        <v>276</v>
      </c>
      <c r="BK5" s="1794" t="s">
        <v>279</v>
      </c>
      <c r="BL5" s="1794" t="s">
        <v>286</v>
      </c>
      <c r="BM5" s="1830" t="s">
        <v>506</v>
      </c>
      <c r="BN5" s="1607"/>
      <c r="BO5" s="1608"/>
      <c r="BP5" s="1607"/>
      <c r="BQ5" s="1608"/>
      <c r="BR5" s="1607"/>
      <c r="BS5" s="1608"/>
      <c r="BT5" s="1607"/>
      <c r="BU5" s="1608"/>
      <c r="BV5" s="1791" t="s">
        <v>352</v>
      </c>
      <c r="BW5" s="1844" t="s">
        <v>330</v>
      </c>
      <c r="BX5" s="1844" t="s">
        <v>331</v>
      </c>
      <c r="BY5" s="1780" t="s">
        <v>339</v>
      </c>
      <c r="BZ5" s="1780" t="s">
        <v>466</v>
      </c>
      <c r="CA5" s="1767" t="s">
        <v>368</v>
      </c>
      <c r="CB5" s="1767" t="s">
        <v>359</v>
      </c>
      <c r="CC5" s="1767" t="s">
        <v>360</v>
      </c>
      <c r="CD5" s="1767" t="s">
        <v>361</v>
      </c>
      <c r="CE5" s="1755" t="s">
        <v>372</v>
      </c>
      <c r="CF5" s="1755" t="s">
        <v>351</v>
      </c>
      <c r="CG5" s="1755" t="s">
        <v>349</v>
      </c>
      <c r="CH5" s="1755" t="s">
        <v>350</v>
      </c>
      <c r="CI5" s="1771" t="s">
        <v>379</v>
      </c>
      <c r="CJ5" s="1771" t="s">
        <v>380</v>
      </c>
      <c r="CK5" s="1746" t="s">
        <v>605</v>
      </c>
      <c r="CL5" s="1746" t="s">
        <v>606</v>
      </c>
      <c r="CM5" s="1746" t="s">
        <v>607</v>
      </c>
      <c r="CN5" s="1768" t="s">
        <v>488</v>
      </c>
      <c r="CO5" s="1768" t="s">
        <v>481</v>
      </c>
      <c r="CP5" s="1768" t="s">
        <v>487</v>
      </c>
      <c r="CQ5" s="1761" t="s">
        <v>486</v>
      </c>
      <c r="CR5" s="1761" t="s">
        <v>61</v>
      </c>
      <c r="CS5" s="1755" t="s">
        <v>507</v>
      </c>
      <c r="CT5" s="1755" t="s">
        <v>510</v>
      </c>
      <c r="CU5" s="1755" t="s">
        <v>294</v>
      </c>
      <c r="CV5" s="1755" t="s">
        <v>408</v>
      </c>
      <c r="CW5" s="1755" t="s">
        <v>440</v>
      </c>
      <c r="CX5" s="1755" t="s">
        <v>451</v>
      </c>
      <c r="CY5" s="1755" t="s">
        <v>576</v>
      </c>
      <c r="CZ5" s="1755" t="s">
        <v>577</v>
      </c>
      <c r="DA5" s="1755" t="s">
        <v>578</v>
      </c>
      <c r="DB5" s="1727" t="s">
        <v>259</v>
      </c>
      <c r="DC5" s="1727" t="s">
        <v>260</v>
      </c>
      <c r="DD5" s="1727" t="s">
        <v>261</v>
      </c>
      <c r="DE5" s="1758" t="s">
        <v>232</v>
      </c>
      <c r="DF5" s="1758" t="s">
        <v>532</v>
      </c>
      <c r="DG5" s="1755" t="s">
        <v>591</v>
      </c>
      <c r="DH5" s="1746" t="s">
        <v>550</v>
      </c>
      <c r="DI5" s="1746" t="s">
        <v>551</v>
      </c>
      <c r="DJ5" s="1746" t="s">
        <v>588</v>
      </c>
      <c r="DK5" s="1746" t="s">
        <v>642</v>
      </c>
      <c r="DL5" s="1746" t="s">
        <v>645</v>
      </c>
      <c r="DM5" s="1745" t="s">
        <v>719</v>
      </c>
      <c r="DN5" s="1745" t="s">
        <v>720</v>
      </c>
      <c r="DO5" s="1745" t="s">
        <v>721</v>
      </c>
      <c r="DP5" s="1745" t="s">
        <v>722</v>
      </c>
      <c r="DQ5" s="1745" t="s">
        <v>723</v>
      </c>
      <c r="DR5" s="1745" t="s">
        <v>724</v>
      </c>
      <c r="DS5" s="1745" t="s">
        <v>725</v>
      </c>
      <c r="DT5" s="1745" t="s">
        <v>726</v>
      </c>
      <c r="DU5" s="1752" t="s">
        <v>727</v>
      </c>
      <c r="DV5" s="1752" t="s">
        <v>728</v>
      </c>
      <c r="DW5" s="1749" t="s">
        <v>729</v>
      </c>
      <c r="DX5" s="1745" t="s">
        <v>730</v>
      </c>
      <c r="DY5" s="1733" t="s">
        <v>731</v>
      </c>
      <c r="DZ5" s="1749" t="s">
        <v>732</v>
      </c>
      <c r="EA5" s="1733" t="s">
        <v>733</v>
      </c>
      <c r="EB5" s="1742" t="s">
        <v>793</v>
      </c>
      <c r="EC5" s="1742" t="s">
        <v>830</v>
      </c>
      <c r="ED5" s="1742" t="s">
        <v>795</v>
      </c>
      <c r="EE5" s="1742" t="s">
        <v>835</v>
      </c>
      <c r="EF5" s="1742" t="s">
        <v>836</v>
      </c>
      <c r="EG5" s="1733" t="s">
        <v>837</v>
      </c>
      <c r="EH5" s="1733" t="s">
        <v>838</v>
      </c>
      <c r="EI5" s="1733" t="s">
        <v>797</v>
      </c>
      <c r="EJ5" s="1733" t="s">
        <v>798</v>
      </c>
      <c r="EK5" s="1841" t="s">
        <v>886</v>
      </c>
      <c r="EL5" s="1736" t="s">
        <v>904</v>
      </c>
      <c r="EM5" s="1737"/>
      <c r="EN5" s="1738"/>
      <c r="EO5" s="1727" t="s">
        <v>1010</v>
      </c>
      <c r="EP5" s="1727" t="s">
        <v>1012</v>
      </c>
      <c r="EQ5" s="1727" t="s">
        <v>1013</v>
      </c>
      <c r="ER5" s="1727" t="s">
        <v>1019</v>
      </c>
      <c r="ES5" s="1727" t="s">
        <v>1029</v>
      </c>
      <c r="ET5" s="1724" t="s">
        <v>1146</v>
      </c>
      <c r="EU5" s="1724" t="s">
        <v>1147</v>
      </c>
    </row>
    <row r="6" spans="1:151" ht="24.75" customHeight="1" thickBot="1">
      <c r="A6" s="1801"/>
      <c r="B6" s="1803"/>
      <c r="C6" s="1806"/>
      <c r="D6" s="1814"/>
      <c r="E6" s="1815"/>
      <c r="F6" s="1815"/>
      <c r="G6" s="1815"/>
      <c r="H6" s="1816"/>
      <c r="I6" s="1819" t="s">
        <v>10</v>
      </c>
      <c r="J6" s="1820"/>
      <c r="K6" s="1820"/>
      <c r="L6" s="1820"/>
      <c r="M6" s="1820"/>
      <c r="N6" s="1820"/>
      <c r="O6" s="1821"/>
      <c r="P6" s="1808" t="s">
        <v>20</v>
      </c>
      <c r="Q6" s="1809"/>
      <c r="R6" s="1810"/>
      <c r="S6" s="1819" t="s">
        <v>154</v>
      </c>
      <c r="T6" s="1820"/>
      <c r="U6" s="1820"/>
      <c r="V6" s="1820"/>
      <c r="W6" s="1822"/>
      <c r="X6" s="1823"/>
      <c r="Y6" s="1824" t="s">
        <v>46</v>
      </c>
      <c r="Z6" s="1825"/>
      <c r="AA6" s="1825"/>
      <c r="AB6" s="1826"/>
      <c r="AC6" s="1824" t="s">
        <v>47</v>
      </c>
      <c r="AD6" s="1825"/>
      <c r="AE6" s="1825"/>
      <c r="AF6" s="1829"/>
      <c r="AG6" s="1808" t="s">
        <v>85</v>
      </c>
      <c r="AH6" s="1809"/>
      <c r="AI6" s="1809"/>
      <c r="AJ6" s="1810"/>
      <c r="AK6" s="1827" t="s">
        <v>86</v>
      </c>
      <c r="AL6" s="1809"/>
      <c r="AM6" s="1809"/>
      <c r="AN6" s="1828"/>
      <c r="AO6" s="1778"/>
      <c r="AP6" s="1778"/>
      <c r="AQ6" s="1778"/>
      <c r="AR6" s="1778"/>
      <c r="AS6" s="1728"/>
      <c r="AT6" s="1728"/>
      <c r="AU6" s="1728"/>
      <c r="AV6" s="1728"/>
      <c r="AW6" s="1728"/>
      <c r="AX6" s="1728"/>
      <c r="AY6" s="1838"/>
      <c r="AZ6" s="1839"/>
      <c r="BA6" s="1839"/>
      <c r="BB6" s="1839"/>
      <c r="BC6" s="1840"/>
      <c r="BD6" s="1786"/>
      <c r="BE6" s="1787"/>
      <c r="BF6" s="1787"/>
      <c r="BG6" s="1788"/>
      <c r="BH6" s="1778"/>
      <c r="BI6" s="1778"/>
      <c r="BJ6" s="1834"/>
      <c r="BK6" s="1795"/>
      <c r="BL6" s="1795"/>
      <c r="BM6" s="1831"/>
      <c r="BN6" s="1605"/>
      <c r="BO6" s="1605"/>
      <c r="BP6" s="1605"/>
      <c r="BQ6" s="1605"/>
      <c r="BR6" s="1605"/>
      <c r="BS6" s="1605"/>
      <c r="BT6" s="1605"/>
      <c r="BU6" s="1605"/>
      <c r="BV6" s="1792"/>
      <c r="BW6" s="1845"/>
      <c r="BX6" s="1845"/>
      <c r="BY6" s="1781"/>
      <c r="BZ6" s="1781"/>
      <c r="CA6" s="1756"/>
      <c r="CB6" s="1756"/>
      <c r="CC6" s="1756"/>
      <c r="CD6" s="1756"/>
      <c r="CE6" s="1756"/>
      <c r="CF6" s="1756"/>
      <c r="CG6" s="1756"/>
      <c r="CH6" s="1756"/>
      <c r="CI6" s="1772"/>
      <c r="CJ6" s="1772"/>
      <c r="CK6" s="1747"/>
      <c r="CL6" s="1747"/>
      <c r="CM6" s="1747"/>
      <c r="CN6" s="1769"/>
      <c r="CO6" s="1769"/>
      <c r="CP6" s="1769"/>
      <c r="CQ6" s="1762"/>
      <c r="CR6" s="1762"/>
      <c r="CS6" s="1756"/>
      <c r="CT6" s="1756"/>
      <c r="CU6" s="1756"/>
      <c r="CV6" s="1756"/>
      <c r="CW6" s="1756"/>
      <c r="CX6" s="1756"/>
      <c r="CY6" s="1756"/>
      <c r="CZ6" s="1756"/>
      <c r="DA6" s="1756"/>
      <c r="DB6" s="1728"/>
      <c r="DC6" s="1728"/>
      <c r="DD6" s="1728"/>
      <c r="DE6" s="1759"/>
      <c r="DF6" s="1759"/>
      <c r="DG6" s="1756"/>
      <c r="DH6" s="1747"/>
      <c r="DI6" s="1747"/>
      <c r="DJ6" s="1747"/>
      <c r="DK6" s="1747"/>
      <c r="DL6" s="1747"/>
      <c r="DM6" s="1651"/>
      <c r="DN6" s="1651"/>
      <c r="DO6" s="1651"/>
      <c r="DP6" s="1651"/>
      <c r="DQ6" s="1651"/>
      <c r="DR6" s="1651"/>
      <c r="DS6" s="1651"/>
      <c r="DT6" s="1651"/>
      <c r="DU6" s="1753"/>
      <c r="DV6" s="1753"/>
      <c r="DW6" s="1750"/>
      <c r="DX6" s="1651"/>
      <c r="DY6" s="1734"/>
      <c r="DZ6" s="1750"/>
      <c r="EA6" s="1734"/>
      <c r="EB6" s="1743"/>
      <c r="EC6" s="1743"/>
      <c r="ED6" s="1743"/>
      <c r="EE6" s="1743"/>
      <c r="EF6" s="1743"/>
      <c r="EG6" s="1734"/>
      <c r="EH6" s="1734"/>
      <c r="EI6" s="1734"/>
      <c r="EJ6" s="1734"/>
      <c r="EK6" s="1842"/>
      <c r="EL6" s="1739"/>
      <c r="EM6" s="1740"/>
      <c r="EN6" s="1741"/>
      <c r="EO6" s="1728"/>
      <c r="EP6" s="1728"/>
      <c r="EQ6" s="1728"/>
      <c r="ER6" s="1728"/>
      <c r="ES6" s="1728"/>
      <c r="ET6" s="1725"/>
      <c r="EU6" s="1725"/>
    </row>
    <row r="7" spans="1:151" ht="87" customHeight="1" thickBot="1">
      <c r="A7" s="72" t="s">
        <v>1009</v>
      </c>
      <c r="B7" s="1804"/>
      <c r="C7" s="1807"/>
      <c r="D7" s="69" t="s">
        <v>521</v>
      </c>
      <c r="E7" s="70" t="s">
        <v>173</v>
      </c>
      <c r="F7" s="70" t="s">
        <v>172</v>
      </c>
      <c r="G7" s="131" t="s">
        <v>51</v>
      </c>
      <c r="H7" s="132" t="s">
        <v>522</v>
      </c>
      <c r="I7" s="9" t="s">
        <v>494</v>
      </c>
      <c r="J7" s="10" t="s">
        <v>18</v>
      </c>
      <c r="K7" s="10" t="s">
        <v>14</v>
      </c>
      <c r="L7" s="11" t="s">
        <v>24</v>
      </c>
      <c r="M7" s="9" t="s">
        <v>12</v>
      </c>
      <c r="N7" s="10" t="s">
        <v>13</v>
      </c>
      <c r="O7" s="172" t="s">
        <v>288</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79"/>
      <c r="AP7" s="1779"/>
      <c r="AQ7" s="1779"/>
      <c r="AR7" s="1779"/>
      <c r="AS7" s="1729"/>
      <c r="AT7" s="1790"/>
      <c r="AU7" s="1790"/>
      <c r="AV7" s="1790"/>
      <c r="AW7" s="1790"/>
      <c r="AX7" s="1790"/>
      <c r="AY7" s="104" t="s">
        <v>23</v>
      </c>
      <c r="AZ7" s="105" t="s">
        <v>18</v>
      </c>
      <c r="BA7" s="105" t="s">
        <v>14</v>
      </c>
      <c r="BB7" s="105" t="s">
        <v>33</v>
      </c>
      <c r="BC7" s="106" t="s">
        <v>12</v>
      </c>
      <c r="BD7" s="104" t="s">
        <v>14</v>
      </c>
      <c r="BE7" s="105" t="s">
        <v>22</v>
      </c>
      <c r="BF7" s="105" t="s">
        <v>131</v>
      </c>
      <c r="BG7" s="106" t="s">
        <v>132</v>
      </c>
      <c r="BH7" s="1779"/>
      <c r="BI7" s="1779"/>
      <c r="BJ7" s="1835"/>
      <c r="BK7" s="1796"/>
      <c r="BL7" s="1796"/>
      <c r="BM7" s="1832"/>
      <c r="BN7" s="1606"/>
      <c r="BO7" s="1606"/>
      <c r="BP7" s="1606"/>
      <c r="BQ7" s="1606"/>
      <c r="BR7" s="1606"/>
      <c r="BS7" s="1606"/>
      <c r="BT7" s="1606"/>
      <c r="BU7" s="1606"/>
      <c r="BV7" s="1793"/>
      <c r="BW7" s="1846"/>
      <c r="BX7" s="1846"/>
      <c r="BY7" s="1782"/>
      <c r="BZ7" s="1782"/>
      <c r="CA7" s="1757"/>
      <c r="CB7" s="1757"/>
      <c r="CC7" s="1757"/>
      <c r="CD7" s="1757"/>
      <c r="CE7" s="1757"/>
      <c r="CF7" s="1757"/>
      <c r="CG7" s="1757"/>
      <c r="CH7" s="1757"/>
      <c r="CI7" s="1773"/>
      <c r="CJ7" s="1773"/>
      <c r="CK7" s="1748"/>
      <c r="CL7" s="1748"/>
      <c r="CM7" s="1748"/>
      <c r="CN7" s="1770"/>
      <c r="CO7" s="1770"/>
      <c r="CP7" s="1770"/>
      <c r="CQ7" s="1763"/>
      <c r="CR7" s="1763"/>
      <c r="CS7" s="1757"/>
      <c r="CT7" s="1757"/>
      <c r="CU7" s="1757"/>
      <c r="CV7" s="1757"/>
      <c r="CW7" s="1757"/>
      <c r="CX7" s="1757"/>
      <c r="CY7" s="1757"/>
      <c r="CZ7" s="1757"/>
      <c r="DA7" s="1757"/>
      <c r="DB7" s="1729"/>
      <c r="DC7" s="1729"/>
      <c r="DD7" s="1729"/>
      <c r="DE7" s="1760"/>
      <c r="DF7" s="1760"/>
      <c r="DG7" s="1757"/>
      <c r="DH7" s="1748"/>
      <c r="DI7" s="1748"/>
      <c r="DJ7" s="1748"/>
      <c r="DK7" s="1748"/>
      <c r="DL7" s="1748"/>
      <c r="DM7" s="1652"/>
      <c r="DN7" s="1652"/>
      <c r="DO7" s="1652"/>
      <c r="DP7" s="1652"/>
      <c r="DQ7" s="1652"/>
      <c r="DR7" s="1652"/>
      <c r="DS7" s="1652"/>
      <c r="DT7" s="1652"/>
      <c r="DU7" s="1754"/>
      <c r="DV7" s="1754"/>
      <c r="DW7" s="1751"/>
      <c r="DX7" s="1652"/>
      <c r="DY7" s="1735"/>
      <c r="DZ7" s="1751"/>
      <c r="EA7" s="1735"/>
      <c r="EB7" s="1744"/>
      <c r="EC7" s="1744"/>
      <c r="ED7" s="1744"/>
      <c r="EE7" s="1744"/>
      <c r="EF7" s="1744"/>
      <c r="EG7" s="1735"/>
      <c r="EH7" s="1735"/>
      <c r="EI7" s="1735"/>
      <c r="EJ7" s="1735"/>
      <c r="EK7" s="1843"/>
      <c r="EL7" s="852" t="s">
        <v>905</v>
      </c>
      <c r="EM7" s="852" t="s">
        <v>129</v>
      </c>
      <c r="EN7" s="852" t="s">
        <v>130</v>
      </c>
      <c r="EO7" s="1729"/>
      <c r="EP7" s="1729"/>
      <c r="EQ7" s="1729"/>
      <c r="ER7" s="1729"/>
      <c r="ES7" s="1729"/>
      <c r="ET7" s="1726"/>
      <c r="EU7" s="1726"/>
    </row>
    <row r="8" spans="1:151" ht="14.25" customHeight="1" thickBot="1">
      <c r="A8" s="73" t="s">
        <v>148</v>
      </c>
      <c r="B8" s="151" t="s">
        <v>523</v>
      </c>
      <c r="C8" s="152" t="s">
        <v>7</v>
      </c>
      <c r="D8" s="13"/>
      <c r="E8" s="14"/>
      <c r="F8" s="14"/>
      <c r="G8" s="15"/>
      <c r="H8" s="16"/>
      <c r="I8" s="53" t="s">
        <v>88</v>
      </c>
      <c r="J8" s="53" t="s">
        <v>74</v>
      </c>
      <c r="K8" s="53" t="s">
        <v>89</v>
      </c>
      <c r="L8" s="53" t="s">
        <v>90</v>
      </c>
      <c r="M8" s="53" t="s">
        <v>91</v>
      </c>
      <c r="N8" s="53" t="s">
        <v>92</v>
      </c>
      <c r="O8" s="53" t="s">
        <v>93</v>
      </c>
      <c r="P8" s="53" t="s">
        <v>94</v>
      </c>
      <c r="Q8" s="53" t="s">
        <v>95</v>
      </c>
      <c r="R8" s="53" t="s">
        <v>96</v>
      </c>
      <c r="S8" s="53" t="s">
        <v>97</v>
      </c>
      <c r="T8" s="53" t="s">
        <v>98</v>
      </c>
      <c r="U8" s="53" t="s">
        <v>99</v>
      </c>
      <c r="V8" s="53" t="s">
        <v>100</v>
      </c>
      <c r="W8" s="53" t="s">
        <v>101</v>
      </c>
      <c r="X8" s="53" t="s">
        <v>102</v>
      </c>
      <c r="Y8" s="53" t="s">
        <v>103</v>
      </c>
      <c r="Z8" s="53" t="s">
        <v>104</v>
      </c>
      <c r="AA8" s="53" t="s">
        <v>105</v>
      </c>
      <c r="AB8" s="53" t="s">
        <v>106</v>
      </c>
      <c r="AC8" s="53" t="s">
        <v>107</v>
      </c>
      <c r="AD8" s="53" t="s">
        <v>108</v>
      </c>
      <c r="AE8" s="53" t="s">
        <v>109</v>
      </c>
      <c r="AF8" s="53" t="s">
        <v>110</v>
      </c>
      <c r="AG8" s="53" t="s">
        <v>111</v>
      </c>
      <c r="AH8" s="53" t="s">
        <v>73</v>
      </c>
      <c r="AI8" s="53" t="s">
        <v>112</v>
      </c>
      <c r="AJ8" s="53" t="s">
        <v>113</v>
      </c>
      <c r="AK8" s="53" t="s">
        <v>114</v>
      </c>
      <c r="AL8" s="53" t="s">
        <v>115</v>
      </c>
      <c r="AM8" s="53" t="s">
        <v>116</v>
      </c>
      <c r="AN8" s="53" t="s">
        <v>222</v>
      </c>
      <c r="AO8" s="53" t="s">
        <v>118</v>
      </c>
      <c r="AP8" s="53" t="s">
        <v>122</v>
      </c>
      <c r="AQ8" s="53" t="s">
        <v>150</v>
      </c>
      <c r="AR8" s="53" t="s">
        <v>151</v>
      </c>
      <c r="AS8" s="53" t="s">
        <v>152</v>
      </c>
      <c r="AT8" s="53" t="s">
        <v>153</v>
      </c>
      <c r="AU8" s="53" t="s">
        <v>157</v>
      </c>
      <c r="AV8" s="53" t="s">
        <v>158</v>
      </c>
      <c r="AW8" s="53" t="s">
        <v>159</v>
      </c>
      <c r="AX8" s="53" t="s">
        <v>160</v>
      </c>
      <c r="AY8" s="53" t="s">
        <v>161</v>
      </c>
      <c r="AZ8" s="53" t="s">
        <v>178</v>
      </c>
      <c r="BA8" s="53" t="s">
        <v>186</v>
      </c>
      <c r="BB8" s="53" t="s">
        <v>197</v>
      </c>
      <c r="BC8" s="53" t="s">
        <v>282</v>
      </c>
      <c r="BD8" s="53" t="s">
        <v>206</v>
      </c>
      <c r="BE8" s="53" t="s">
        <v>220</v>
      </c>
      <c r="BF8" s="53" t="s">
        <v>221</v>
      </c>
      <c r="BG8" s="53" t="s">
        <v>277</v>
      </c>
      <c r="BH8" s="53" t="s">
        <v>278</v>
      </c>
      <c r="BI8" s="53" t="s">
        <v>285</v>
      </c>
      <c r="BJ8" s="53" t="s">
        <v>301</v>
      </c>
      <c r="BK8" s="53" t="s">
        <v>306</v>
      </c>
      <c r="BL8" s="53" t="s">
        <v>307</v>
      </c>
      <c r="BM8" s="53"/>
      <c r="BN8" s="53"/>
      <c r="BO8" s="53"/>
      <c r="BP8" s="53"/>
      <c r="BQ8" s="53"/>
      <c r="BR8" s="53"/>
      <c r="BS8" s="53"/>
      <c r="BT8" s="53"/>
      <c r="BU8" s="53"/>
      <c r="BV8" s="53" t="s">
        <v>363</v>
      </c>
      <c r="BW8" s="53" t="s">
        <v>364</v>
      </c>
      <c r="BX8" s="53" t="s">
        <v>369</v>
      </c>
      <c r="BY8" s="53" t="s">
        <v>371</v>
      </c>
      <c r="BZ8" s="53" t="s">
        <v>381</v>
      </c>
      <c r="CA8" s="53" t="s">
        <v>382</v>
      </c>
      <c r="CB8" s="53" t="s">
        <v>467</v>
      </c>
      <c r="CC8" s="53" t="s">
        <v>470</v>
      </c>
      <c r="CD8" s="53" t="s">
        <v>472</v>
      </c>
      <c r="CE8" s="53" t="s">
        <v>482</v>
      </c>
      <c r="CF8" s="53" t="s">
        <v>483</v>
      </c>
      <c r="CG8" s="53" t="s">
        <v>484</v>
      </c>
      <c r="CH8" s="53" t="s">
        <v>485</v>
      </c>
      <c r="CI8" s="53" t="s">
        <v>509</v>
      </c>
      <c r="CJ8" s="53" t="s">
        <v>511</v>
      </c>
      <c r="CK8" s="53" t="s">
        <v>295</v>
      </c>
      <c r="CL8" s="53" t="s">
        <v>415</v>
      </c>
      <c r="CM8" s="53" t="s">
        <v>420</v>
      </c>
      <c r="CN8" s="53"/>
      <c r="CO8" s="53"/>
      <c r="CP8" s="53"/>
      <c r="CQ8" s="53" t="s">
        <v>460</v>
      </c>
      <c r="CR8" s="53" t="s">
        <v>461</v>
      </c>
      <c r="CS8" s="53" t="s">
        <v>231</v>
      </c>
      <c r="CT8" s="53" t="s">
        <v>250</v>
      </c>
      <c r="CU8" s="53" t="s">
        <v>251</v>
      </c>
      <c r="CV8" s="53" t="s">
        <v>252</v>
      </c>
      <c r="CW8" s="53" t="s">
        <v>253</v>
      </c>
      <c r="CX8" s="53" t="s">
        <v>254</v>
      </c>
      <c r="CY8" s="53" t="s">
        <v>255</v>
      </c>
      <c r="CZ8" s="53" t="s">
        <v>256</v>
      </c>
      <c r="DA8" s="53" t="s">
        <v>257</v>
      </c>
      <c r="DB8" s="53" t="s">
        <v>258</v>
      </c>
      <c r="DC8" s="53" t="s">
        <v>262</v>
      </c>
      <c r="DD8" s="53" t="s">
        <v>263</v>
      </c>
      <c r="DE8" s="53" t="s">
        <v>533</v>
      </c>
      <c r="DF8" s="53" t="s">
        <v>62</v>
      </c>
      <c r="DG8" s="53">
        <v>111</v>
      </c>
      <c r="DH8" s="53" t="s">
        <v>602</v>
      </c>
      <c r="DI8" s="53" t="s">
        <v>603</v>
      </c>
      <c r="DJ8" s="536" t="s">
        <v>604</v>
      </c>
      <c r="DK8" s="536" t="s">
        <v>643</v>
      </c>
      <c r="DL8" s="536" t="s">
        <v>644</v>
      </c>
      <c r="DM8" s="536" t="s">
        <v>734</v>
      </c>
      <c r="DN8" s="536" t="s">
        <v>735</v>
      </c>
      <c r="DO8" s="536" t="s">
        <v>736</v>
      </c>
      <c r="DP8" s="536" t="s">
        <v>737</v>
      </c>
      <c r="DQ8" s="536" t="s">
        <v>738</v>
      </c>
      <c r="DR8" s="536" t="s">
        <v>739</v>
      </c>
      <c r="DS8" s="536" t="s">
        <v>740</v>
      </c>
      <c r="DT8" s="536" t="s">
        <v>741</v>
      </c>
      <c r="DU8" s="536" t="s">
        <v>742</v>
      </c>
      <c r="DV8" s="536" t="s">
        <v>743</v>
      </c>
      <c r="DW8" s="536" t="s">
        <v>744</v>
      </c>
      <c r="DX8" s="536" t="s">
        <v>745</v>
      </c>
      <c r="DY8" s="536" t="s">
        <v>746</v>
      </c>
      <c r="DZ8" s="536" t="s">
        <v>747</v>
      </c>
      <c r="EA8" s="536" t="s">
        <v>748</v>
      </c>
      <c r="EB8" s="536" t="s">
        <v>805</v>
      </c>
      <c r="EC8" s="536" t="s">
        <v>806</v>
      </c>
      <c r="ED8" s="536" t="s">
        <v>807</v>
      </c>
      <c r="EE8" s="536" t="s">
        <v>808</v>
      </c>
      <c r="EF8" s="536" t="s">
        <v>809</v>
      </c>
      <c r="EG8" s="536" t="s">
        <v>810</v>
      </c>
      <c r="EH8" s="536" t="s">
        <v>811</v>
      </c>
      <c r="EI8" s="536" t="s">
        <v>812</v>
      </c>
      <c r="EJ8" s="536" t="s">
        <v>813</v>
      </c>
      <c r="EK8" s="536" t="s">
        <v>887</v>
      </c>
      <c r="EL8" s="536" t="s">
        <v>906</v>
      </c>
      <c r="EM8" s="536" t="s">
        <v>907</v>
      </c>
      <c r="EN8" s="536" t="s">
        <v>908</v>
      </c>
      <c r="EO8" s="53" t="s">
        <v>1011</v>
      </c>
      <c r="EP8" s="53" t="s">
        <v>1017</v>
      </c>
      <c r="EQ8" s="53" t="s">
        <v>1018</v>
      </c>
      <c r="ER8" s="536">
        <v>148</v>
      </c>
      <c r="ES8" s="536" t="s">
        <v>1030</v>
      </c>
      <c r="ET8" s="1522" t="s">
        <v>1148</v>
      </c>
      <c r="EU8" s="1522" t="s">
        <v>1149</v>
      </c>
    </row>
    <row r="9" spans="1:151" s="793" customFormat="1" ht="14.25" customHeight="1">
      <c r="A9" s="828" t="s">
        <v>72</v>
      </c>
      <c r="B9" s="775" t="s">
        <v>523</v>
      </c>
      <c r="C9" s="776" t="s">
        <v>8</v>
      </c>
      <c r="D9" s="777" t="s">
        <v>25</v>
      </c>
      <c r="E9" s="775" t="s">
        <v>26</v>
      </c>
      <c r="F9" s="775">
        <v>32</v>
      </c>
      <c r="G9" s="778"/>
      <c r="H9" s="829" t="s">
        <v>323</v>
      </c>
      <c r="I9" s="830" t="s">
        <v>1102</v>
      </c>
      <c r="J9" s="780" t="s">
        <v>1092</v>
      </c>
      <c r="K9" s="780" t="s">
        <v>1107</v>
      </c>
      <c r="L9" s="780" t="s">
        <v>1126</v>
      </c>
      <c r="M9" s="780" t="s">
        <v>657</v>
      </c>
      <c r="N9" s="780" t="s">
        <v>427</v>
      </c>
      <c r="O9" s="780" t="s">
        <v>424</v>
      </c>
      <c r="P9" s="780" t="s">
        <v>489</v>
      </c>
      <c r="Q9" s="780" t="s">
        <v>490</v>
      </c>
      <c r="R9" s="780" t="s">
        <v>491</v>
      </c>
      <c r="S9" s="780"/>
      <c r="T9" s="780"/>
      <c r="U9" s="780"/>
      <c r="V9" s="780"/>
      <c r="W9" s="780"/>
      <c r="X9" s="831"/>
      <c r="Y9" s="832" t="s">
        <v>269</v>
      </c>
      <c r="Z9" s="780" t="s">
        <v>492</v>
      </c>
      <c r="AA9" s="780" t="s">
        <v>211</v>
      </c>
      <c r="AB9" s="780" t="s">
        <v>212</v>
      </c>
      <c r="AC9" s="780"/>
      <c r="AD9" s="780"/>
      <c r="AE9" s="780"/>
      <c r="AF9" s="831"/>
      <c r="AG9" s="832"/>
      <c r="AH9" s="780"/>
      <c r="AI9" s="780"/>
      <c r="AJ9" s="833"/>
      <c r="AK9" s="830"/>
      <c r="AL9" s="780"/>
      <c r="AM9" s="780"/>
      <c r="AN9" s="831"/>
      <c r="AO9" s="834"/>
      <c r="AP9" s="834"/>
      <c r="AQ9" s="834"/>
      <c r="AR9" s="835"/>
      <c r="AS9" s="836" t="s">
        <v>1093</v>
      </c>
      <c r="AT9" s="837"/>
      <c r="AU9" s="836" t="s">
        <v>1120</v>
      </c>
      <c r="AV9" s="837"/>
      <c r="AW9" s="836" t="s">
        <v>1127</v>
      </c>
      <c r="AX9" s="837"/>
      <c r="AY9" s="838">
        <f>IF(ISNUMBER(IF(Criterios!B13="SI",S9,S9+AG9)),IF(Criterios!B13="SI",S9,S9+AG9)," - ")</f>
        <v>0</v>
      </c>
      <c r="AZ9" s="839"/>
      <c r="BA9" s="839">
        <f>IF(ISNUMBER(IF(Criterios!B13="SI",U9,U9+AI9)),IF(Criterios!B13="SI",U9,U9+AI9)," - ")</f>
        <v>0</v>
      </c>
      <c r="BB9" s="839">
        <f>IF(ISNUMBER(IF(Criterios!B13="SI",V9,V9+AJ9)),IF(Criterios!B13="SI",V9,V9+AJ9)," - ")</f>
        <v>0</v>
      </c>
      <c r="BC9" s="787" t="str">
        <f>IF(ISNUMBER(X9),X9," - ")</f>
        <v xml:space="preserve"> - </v>
      </c>
      <c r="BD9" s="788" t="str">
        <f t="shared" ref="BD9:BD13" si="0">IF(ISNUMBER(BA9/AZ9),BA9/AZ9," - ")</f>
        <v xml:space="preserve"> - </v>
      </c>
      <c r="BE9" s="789" t="str">
        <f t="shared" ref="BE9:BE13" si="1">IF(ISNUMBER(BB9/BA9),BB9/BA9, " - ")</f>
        <v xml:space="preserve"> - </v>
      </c>
      <c r="BF9" s="789" t="str">
        <f t="shared" ref="BF9:BF13" si="2">IF(ISNUMBER(BC9/BA9),BC9/BA9, " - ")</f>
        <v xml:space="preserve"> - </v>
      </c>
      <c r="BG9" s="790" t="str">
        <f t="shared" ref="BG9:BG13" si="3">IF(ISNUMBER((AY9+AZ9)/BA9),(AY9+AZ9)/BA9," - ")</f>
        <v xml:space="preserve"> - </v>
      </c>
      <c r="BH9" s="834"/>
      <c r="BI9" s="834"/>
      <c r="BJ9" s="840"/>
      <c r="BK9" s="834"/>
      <c r="BL9" s="834"/>
      <c r="BM9" s="534">
        <v>720</v>
      </c>
      <c r="BN9" s="803"/>
      <c r="BO9" s="803"/>
      <c r="BP9" s="803"/>
      <c r="BQ9" s="803"/>
      <c r="BR9" s="803"/>
      <c r="BS9" s="803"/>
      <c r="BT9" s="803"/>
      <c r="BU9" s="803"/>
      <c r="BV9" s="534" t="s">
        <v>666</v>
      </c>
      <c r="BW9" s="534" t="s">
        <v>392</v>
      </c>
      <c r="BX9" s="534" t="s">
        <v>393</v>
      </c>
      <c r="BY9" s="534" t="s">
        <v>1108</v>
      </c>
      <c r="BZ9" s="534" t="s">
        <v>647</v>
      </c>
      <c r="CA9" s="534" t="s">
        <v>537</v>
      </c>
      <c r="CB9" s="534" t="s">
        <v>538</v>
      </c>
      <c r="CC9" s="534" t="s">
        <v>539</v>
      </c>
      <c r="CD9" s="534" t="s">
        <v>540</v>
      </c>
      <c r="CE9" s="534"/>
      <c r="CF9" s="534"/>
      <c r="CG9" s="534"/>
      <c r="CH9" s="534"/>
      <c r="CI9" s="534" t="s">
        <v>683</v>
      </c>
      <c r="CJ9" s="534" t="s">
        <v>541</v>
      </c>
      <c r="CK9" s="534" t="s">
        <v>660</v>
      </c>
      <c r="CL9" s="534" t="s">
        <v>662</v>
      </c>
      <c r="CM9" s="534" t="s">
        <v>664</v>
      </c>
      <c r="CN9" s="534">
        <v>1088</v>
      </c>
      <c r="CO9" s="534">
        <v>720</v>
      </c>
      <c r="CP9" s="534">
        <v>1088</v>
      </c>
      <c r="CQ9" s="841" t="s">
        <v>1109</v>
      </c>
      <c r="CR9" s="841" t="s">
        <v>648</v>
      </c>
      <c r="CS9" s="534"/>
      <c r="CT9" s="534"/>
      <c r="CU9" s="534"/>
      <c r="CV9" s="534" t="s">
        <v>671</v>
      </c>
      <c r="CW9" s="534" t="s">
        <v>536</v>
      </c>
      <c r="CX9" s="534" t="s">
        <v>458</v>
      </c>
      <c r="CY9" s="534" t="s">
        <v>579</v>
      </c>
      <c r="CZ9" s="534" t="s">
        <v>580</v>
      </c>
      <c r="DA9" s="534" t="s">
        <v>581</v>
      </c>
      <c r="DB9" s="836" t="s">
        <v>1094</v>
      </c>
      <c r="DC9" s="836" t="s">
        <v>1095</v>
      </c>
      <c r="DD9" s="534"/>
      <c r="DE9" s="534" t="s">
        <v>314</v>
      </c>
      <c r="DF9" s="534"/>
      <c r="DG9" s="534" t="s">
        <v>592</v>
      </c>
      <c r="DH9" s="534" t="s">
        <v>668</v>
      </c>
      <c r="DI9" s="534" t="s">
        <v>669</v>
      </c>
      <c r="DJ9" s="534" t="s">
        <v>670</v>
      </c>
      <c r="DK9" s="534"/>
      <c r="DL9" s="534"/>
      <c r="DM9" s="534"/>
      <c r="DN9" s="534"/>
      <c r="DO9" s="534"/>
      <c r="DP9" s="534"/>
      <c r="DQ9" s="534"/>
      <c r="DR9" s="534"/>
      <c r="DS9" s="534"/>
      <c r="DT9" s="534"/>
      <c r="DU9" s="534" t="s">
        <v>893</v>
      </c>
      <c r="DV9" s="534" t="s">
        <v>888</v>
      </c>
      <c r="DW9" s="534" t="s">
        <v>889</v>
      </c>
      <c r="DX9" s="534" t="s">
        <v>890</v>
      </c>
      <c r="DY9" s="534" t="s">
        <v>891</v>
      </c>
      <c r="DZ9" s="534"/>
      <c r="EA9" s="534"/>
      <c r="EB9" s="534"/>
      <c r="EC9" s="534"/>
      <c r="ED9" s="534"/>
      <c r="EE9" s="534"/>
      <c r="EF9" s="534"/>
      <c r="EG9" s="534"/>
      <c r="EH9" s="534"/>
      <c r="EI9" s="534"/>
      <c r="EJ9" s="534"/>
      <c r="EK9" s="534"/>
      <c r="EL9" s="841" t="s">
        <v>1081</v>
      </c>
      <c r="EM9" s="841" t="s">
        <v>1082</v>
      </c>
      <c r="EN9" s="534" t="s">
        <v>1080</v>
      </c>
      <c r="EO9" s="1323" t="s">
        <v>1085</v>
      </c>
      <c r="EP9" s="1323" t="s">
        <v>1110</v>
      </c>
      <c r="EQ9" s="1323" t="s">
        <v>1128</v>
      </c>
      <c r="ER9" s="1341">
        <v>1200</v>
      </c>
      <c r="ES9" s="1336"/>
      <c r="ET9" s="1523"/>
      <c r="EU9" s="1523"/>
    </row>
    <row r="10" spans="1:151" ht="14.25" customHeight="1">
      <c r="A10" s="147" t="s">
        <v>191</v>
      </c>
      <c r="B10" s="21" t="s">
        <v>523</v>
      </c>
      <c r="C10" s="22" t="s">
        <v>8</v>
      </c>
      <c r="D10" s="23" t="s">
        <v>114</v>
      </c>
      <c r="E10" s="21" t="s">
        <v>114</v>
      </c>
      <c r="F10" s="21" t="s">
        <v>186</v>
      </c>
      <c r="G10" s="6"/>
      <c r="H10" s="146"/>
      <c r="I10" s="193" t="s">
        <v>700</v>
      </c>
      <c r="J10" s="194" t="s">
        <v>698</v>
      </c>
      <c r="K10" s="194" t="s">
        <v>699</v>
      </c>
      <c r="L10" s="194" t="s">
        <v>704</v>
      </c>
      <c r="M10" s="60" t="s">
        <v>690</v>
      </c>
      <c r="N10" s="60" t="s">
        <v>187</v>
      </c>
      <c r="O10" s="60" t="s">
        <v>292</v>
      </c>
      <c r="P10" s="60" t="s">
        <v>188</v>
      </c>
      <c r="Q10" s="60" t="s">
        <v>189</v>
      </c>
      <c r="R10" s="60" t="s">
        <v>190</v>
      </c>
      <c r="S10" s="60"/>
      <c r="T10" s="60"/>
      <c r="U10" s="60"/>
      <c r="V10" s="60"/>
      <c r="W10" s="60"/>
      <c r="X10" s="64"/>
      <c r="Y10" s="148"/>
      <c r="Z10" s="149"/>
      <c r="AA10" s="150"/>
      <c r="AB10" s="149"/>
      <c r="AC10" s="60"/>
      <c r="AD10" s="60"/>
      <c r="AE10" s="60"/>
      <c r="AF10" s="64"/>
      <c r="AG10" s="65"/>
      <c r="AH10" s="60"/>
      <c r="AI10" s="60"/>
      <c r="AJ10" s="66"/>
      <c r="AK10" s="61"/>
      <c r="AL10" s="60"/>
      <c r="AM10" s="60"/>
      <c r="AN10" s="64"/>
      <c r="AO10" s="67"/>
      <c r="AP10" s="62"/>
      <c r="AQ10" s="67"/>
      <c r="AR10" s="62"/>
      <c r="AS10" s="161" t="s">
        <v>1037</v>
      </c>
      <c r="AT10" s="66"/>
      <c r="AU10" s="161" t="s">
        <v>1038</v>
      </c>
      <c r="AV10" s="66"/>
      <c r="AW10" s="161" t="s">
        <v>1039</v>
      </c>
      <c r="AX10" s="66"/>
      <c r="AY10" s="138" t="str">
        <f t="shared" ref="AY10:BC10" si="4">IF(ISNUMBER(S10),S10," - ")</f>
        <v xml:space="preserve"> - </v>
      </c>
      <c r="AZ10" s="139" t="str">
        <f t="shared" si="4"/>
        <v xml:space="preserve"> - </v>
      </c>
      <c r="BA10" s="139" t="str">
        <f t="shared" si="4"/>
        <v xml:space="preserve"> - </v>
      </c>
      <c r="BB10" s="139" t="str">
        <f t="shared" si="4"/>
        <v xml:space="preserve"> - </v>
      </c>
      <c r="BC10" s="135" t="str">
        <f t="shared" si="4"/>
        <v xml:space="preserve"> - </v>
      </c>
      <c r="BD10" s="107" t="str">
        <f t="shared" si="0"/>
        <v xml:space="preserve"> - </v>
      </c>
      <c r="BE10" s="108" t="str">
        <f t="shared" si="1"/>
        <v xml:space="preserve"> - </v>
      </c>
      <c r="BF10" s="108" t="str">
        <f t="shared" si="2"/>
        <v xml:space="preserve"> - </v>
      </c>
      <c r="BG10" s="109" t="str">
        <f t="shared" si="3"/>
        <v xml:space="preserve"> - </v>
      </c>
      <c r="BH10" s="62"/>
      <c r="BI10" s="62"/>
      <c r="BJ10" s="162"/>
      <c r="BK10" s="67"/>
      <c r="BL10" s="67"/>
      <c r="BM10" s="167">
        <v>0</v>
      </c>
      <c r="BN10" s="167"/>
      <c r="BO10" s="167"/>
      <c r="BP10" s="167"/>
      <c r="BQ10" s="167"/>
      <c r="BR10" s="167"/>
      <c r="BS10" s="167"/>
      <c r="BT10" s="167"/>
      <c r="BU10" s="167"/>
      <c r="BV10" s="167" t="s">
        <v>399</v>
      </c>
      <c r="BW10" s="167" t="s">
        <v>463</v>
      </c>
      <c r="BX10" s="167" t="s">
        <v>464</v>
      </c>
      <c r="BY10" s="167" t="s">
        <v>1040</v>
      </c>
      <c r="BZ10" s="167"/>
      <c r="CA10" s="167"/>
      <c r="CB10" s="167"/>
      <c r="CC10" s="167"/>
      <c r="CD10" s="167"/>
      <c r="CE10" s="167"/>
      <c r="CF10" s="167"/>
      <c r="CG10" s="167"/>
      <c r="CH10" s="167"/>
      <c r="CI10" s="167" t="s">
        <v>685</v>
      </c>
      <c r="CJ10" s="167" t="s">
        <v>389</v>
      </c>
      <c r="CK10" s="167" t="s">
        <v>609</v>
      </c>
      <c r="CL10" s="167" t="s">
        <v>610</v>
      </c>
      <c r="CM10" s="167" t="s">
        <v>611</v>
      </c>
      <c r="CN10" s="167">
        <v>1175</v>
      </c>
      <c r="CO10" s="167">
        <v>0</v>
      </c>
      <c r="CP10" s="315" t="s">
        <v>543</v>
      </c>
      <c r="CQ10" s="167" t="s">
        <v>1041</v>
      </c>
      <c r="CR10" s="167"/>
      <c r="CS10" s="167"/>
      <c r="CT10" s="169"/>
      <c r="CU10" s="169"/>
      <c r="CV10" s="169" t="s">
        <v>410</v>
      </c>
      <c r="CW10" s="169" t="s">
        <v>450</v>
      </c>
      <c r="CX10" s="169" t="s">
        <v>453</v>
      </c>
      <c r="CY10" s="169" t="s">
        <v>686</v>
      </c>
      <c r="CZ10" s="169" t="s">
        <v>687</v>
      </c>
      <c r="DA10" s="169" t="s">
        <v>688</v>
      </c>
      <c r="DB10" s="355" t="s">
        <v>701</v>
      </c>
      <c r="DC10" s="354"/>
      <c r="DD10" s="169"/>
      <c r="DE10" s="169" t="s">
        <v>315</v>
      </c>
      <c r="DF10" s="169"/>
      <c r="DG10" s="169" t="s">
        <v>689</v>
      </c>
      <c r="DH10" s="167" t="s">
        <v>557</v>
      </c>
      <c r="DI10" s="167" t="s">
        <v>555</v>
      </c>
      <c r="DJ10" s="167" t="s">
        <v>556</v>
      </c>
      <c r="DK10" s="167"/>
      <c r="DL10" s="167"/>
      <c r="DM10" s="315"/>
      <c r="DN10" s="315"/>
      <c r="DO10" s="315"/>
      <c r="DP10" s="315"/>
      <c r="DQ10" s="315"/>
      <c r="DR10" s="315"/>
      <c r="DS10" s="315"/>
      <c r="DT10" s="315"/>
      <c r="DU10" s="168" t="s">
        <v>815</v>
      </c>
      <c r="DV10" s="315" t="s">
        <v>942</v>
      </c>
      <c r="DW10" s="315" t="s">
        <v>939</v>
      </c>
      <c r="DX10" s="315" t="s">
        <v>940</v>
      </c>
      <c r="DY10" s="315" t="s">
        <v>941</v>
      </c>
      <c r="DZ10" s="315"/>
      <c r="EA10" s="315"/>
      <c r="EB10" s="315"/>
      <c r="EC10" s="315"/>
      <c r="ED10" s="315"/>
      <c r="EE10" s="315"/>
      <c r="EF10" s="315"/>
      <c r="EG10" s="315"/>
      <c r="EH10" s="315"/>
      <c r="EI10" s="315"/>
      <c r="EJ10" s="315"/>
      <c r="EK10" s="315"/>
      <c r="EL10" s="315"/>
      <c r="EM10" s="315"/>
      <c r="EN10" s="315"/>
      <c r="EO10" s="355" t="s">
        <v>1052</v>
      </c>
      <c r="EP10" s="355" t="s">
        <v>1053</v>
      </c>
      <c r="EQ10" s="355" t="s">
        <v>1054</v>
      </c>
      <c r="ER10" s="1342">
        <v>1600</v>
      </c>
      <c r="ES10" s="381"/>
      <c r="ET10" s="1523"/>
      <c r="EU10" s="1523"/>
    </row>
    <row r="11" spans="1:151" s="793" customFormat="1" ht="14.25" customHeight="1" thickBot="1">
      <c r="A11" s="828" t="s">
        <v>524</v>
      </c>
      <c r="B11" s="775" t="s">
        <v>523</v>
      </c>
      <c r="C11" s="776" t="s">
        <v>8</v>
      </c>
      <c r="D11" s="777" t="s">
        <v>25</v>
      </c>
      <c r="E11" s="775" t="s">
        <v>78</v>
      </c>
      <c r="F11" s="775">
        <v>32</v>
      </c>
      <c r="G11" s="778"/>
      <c r="H11" s="795" t="s">
        <v>52</v>
      </c>
      <c r="I11" s="351" t="s">
        <v>1103</v>
      </c>
      <c r="J11" s="350" t="s">
        <v>1096</v>
      </c>
      <c r="K11" s="350" t="s">
        <v>1121</v>
      </c>
      <c r="L11" s="350" t="s">
        <v>1129</v>
      </c>
      <c r="M11" s="350" t="s">
        <v>656</v>
      </c>
      <c r="N11" s="350" t="s">
        <v>56</v>
      </c>
      <c r="O11" s="780" t="s">
        <v>289</v>
      </c>
      <c r="P11" s="350" t="s">
        <v>57</v>
      </c>
      <c r="Q11" s="350" t="s">
        <v>58</v>
      </c>
      <c r="R11" s="350" t="s">
        <v>125</v>
      </c>
      <c r="S11" s="350"/>
      <c r="T11" s="350"/>
      <c r="U11" s="350"/>
      <c r="V11" s="350"/>
      <c r="W11" s="350"/>
      <c r="X11" s="781"/>
      <c r="Y11" s="832" t="s">
        <v>269</v>
      </c>
      <c r="Z11" s="780" t="s">
        <v>492</v>
      </c>
      <c r="AA11" s="780" t="s">
        <v>211</v>
      </c>
      <c r="AB11" s="780" t="s">
        <v>212</v>
      </c>
      <c r="AC11" s="350"/>
      <c r="AD11" s="350"/>
      <c r="AE11" s="350"/>
      <c r="AF11" s="781"/>
      <c r="AG11" s="782"/>
      <c r="AH11" s="350"/>
      <c r="AI11" s="350"/>
      <c r="AJ11" s="783"/>
      <c r="AK11" s="351"/>
      <c r="AL11" s="350"/>
      <c r="AM11" s="350"/>
      <c r="AN11" s="781"/>
      <c r="AO11" s="784"/>
      <c r="AP11" s="784"/>
      <c r="AQ11" s="784"/>
      <c r="AR11" s="834"/>
      <c r="AS11" s="782" t="s">
        <v>1097</v>
      </c>
      <c r="AT11" s="783"/>
      <c r="AU11" s="782" t="s">
        <v>1122</v>
      </c>
      <c r="AV11" s="783"/>
      <c r="AW11" s="782" t="s">
        <v>1130</v>
      </c>
      <c r="AX11" s="783"/>
      <c r="AY11" s="842">
        <f>IF(ISNUMBER(IF(Criterios!B13="SI",S11,S11+AG11)),IF(Criterios!B13="SI",S11,S11+AG11)," - ")</f>
        <v>0</v>
      </c>
      <c r="AZ11" s="843">
        <f>IF(ISNUMBER(IF(Criterios!B13="SI",T11,T11+AH11)),IF(Criterios!B13="SI",T11,T11+AH11)," - ")</f>
        <v>0</v>
      </c>
      <c r="BA11" s="843">
        <f>IF(ISNUMBER(IF(Criterios!B13="SI",U11,U11+AI11)),IF(Criterios!B13="SI",U11,U11+AI11)," - ")</f>
        <v>0</v>
      </c>
      <c r="BB11" s="843">
        <f>IF(ISNUMBER(IF(Criterios!B13="SI",V11,V11+AJ11)),IF(Criterios!B13="SI",V11,V11+AJ11)," - ")</f>
        <v>0</v>
      </c>
      <c r="BC11" s="787" t="str">
        <f>IF(ISNUMBER(X11),X11," - ")</f>
        <v xml:space="preserve"> - </v>
      </c>
      <c r="BD11" s="788" t="str">
        <f t="shared" si="0"/>
        <v xml:space="preserve"> - </v>
      </c>
      <c r="BE11" s="789" t="str">
        <f t="shared" si="1"/>
        <v xml:space="preserve"> - </v>
      </c>
      <c r="BF11" s="789" t="str">
        <f t="shared" si="2"/>
        <v xml:space="preserve"> - </v>
      </c>
      <c r="BG11" s="790" t="str">
        <f t="shared" si="3"/>
        <v xml:space="preserve"> - </v>
      </c>
      <c r="BH11" s="784"/>
      <c r="BI11" s="784"/>
      <c r="BJ11" s="782"/>
      <c r="BK11" s="784"/>
      <c r="BL11" s="784"/>
      <c r="BM11" s="796">
        <v>1000</v>
      </c>
      <c r="BN11" s="803"/>
      <c r="BO11" s="803"/>
      <c r="BP11" s="803"/>
      <c r="BQ11" s="803"/>
      <c r="BR11" s="803"/>
      <c r="BS11" s="803"/>
      <c r="BT11" s="803"/>
      <c r="BU11" s="803"/>
      <c r="BV11" s="534" t="s">
        <v>665</v>
      </c>
      <c r="BW11" s="534" t="s">
        <v>334</v>
      </c>
      <c r="BX11" s="534" t="s">
        <v>335</v>
      </c>
      <c r="BY11" s="796" t="s">
        <v>1123</v>
      </c>
      <c r="BZ11" s="534" t="s">
        <v>1007</v>
      </c>
      <c r="CA11" s="534" t="s">
        <v>370</v>
      </c>
      <c r="CB11" s="534" t="s">
        <v>365</v>
      </c>
      <c r="CC11" s="534" t="s">
        <v>366</v>
      </c>
      <c r="CD11" s="534" t="s">
        <v>367</v>
      </c>
      <c r="CE11" s="796"/>
      <c r="CF11" s="796"/>
      <c r="CG11" s="796"/>
      <c r="CH11" s="796"/>
      <c r="CI11" s="796" t="s">
        <v>649</v>
      </c>
      <c r="CJ11" s="796" t="s">
        <v>383</v>
      </c>
      <c r="CK11" s="534" t="s">
        <v>659</v>
      </c>
      <c r="CL11" s="534" t="s">
        <v>661</v>
      </c>
      <c r="CM11" s="534" t="s">
        <v>663</v>
      </c>
      <c r="CN11" s="534">
        <v>1088</v>
      </c>
      <c r="CO11" s="796">
        <v>1000</v>
      </c>
      <c r="CP11" s="534">
        <v>1088</v>
      </c>
      <c r="CQ11" s="534" t="s">
        <v>1111</v>
      </c>
      <c r="CR11" s="534" t="s">
        <v>1008</v>
      </c>
      <c r="CS11" s="796"/>
      <c r="CT11" s="534"/>
      <c r="CU11" s="534"/>
      <c r="CV11" s="534" t="s">
        <v>671</v>
      </c>
      <c r="CW11" s="534" t="s">
        <v>443</v>
      </c>
      <c r="CX11" s="534" t="s">
        <v>458</v>
      </c>
      <c r="CY11" s="534" t="s">
        <v>579</v>
      </c>
      <c r="CZ11" s="534" t="s">
        <v>580</v>
      </c>
      <c r="DA11" s="534" t="s">
        <v>581</v>
      </c>
      <c r="DB11" s="363" t="s">
        <v>1098</v>
      </c>
      <c r="DC11" s="363" t="s">
        <v>1099</v>
      </c>
      <c r="DD11" s="534"/>
      <c r="DE11" s="534" t="s">
        <v>316</v>
      </c>
      <c r="DF11" s="534"/>
      <c r="DG11" s="534" t="s">
        <v>592</v>
      </c>
      <c r="DH11" s="534" t="s">
        <v>668</v>
      </c>
      <c r="DI11" s="534" t="s">
        <v>669</v>
      </c>
      <c r="DJ11" s="534" t="s">
        <v>670</v>
      </c>
      <c r="DK11" s="534"/>
      <c r="DL11" s="534"/>
      <c r="DM11" s="841"/>
      <c r="DN11" s="841"/>
      <c r="DO11" s="841"/>
      <c r="DP11" s="841"/>
      <c r="DQ11" s="841"/>
      <c r="DR11" s="841"/>
      <c r="DS11" s="841"/>
      <c r="DT11" s="841"/>
      <c r="DU11" s="841" t="s">
        <v>893</v>
      </c>
      <c r="DV11" s="841" t="s">
        <v>888</v>
      </c>
      <c r="DW11" s="841" t="s">
        <v>889</v>
      </c>
      <c r="DX11" s="841" t="s">
        <v>890</v>
      </c>
      <c r="DY11" s="841" t="s">
        <v>891</v>
      </c>
      <c r="DZ11" s="841"/>
      <c r="EA11" s="841"/>
      <c r="EB11" s="841"/>
      <c r="EC11" s="841"/>
      <c r="ED11" s="841"/>
      <c r="EE11" s="841"/>
      <c r="EF11" s="841"/>
      <c r="EG11" s="841"/>
      <c r="EH11" s="841"/>
      <c r="EI11" s="841"/>
      <c r="EJ11" s="841"/>
      <c r="EK11" s="841"/>
      <c r="EL11" s="841"/>
      <c r="EM11" s="841"/>
      <c r="EN11" s="841"/>
      <c r="EO11" s="1367" t="s">
        <v>1136</v>
      </c>
      <c r="EP11" s="1367" t="s">
        <v>1112</v>
      </c>
      <c r="EQ11" s="1367" t="s">
        <v>1131</v>
      </c>
      <c r="ER11" s="1343">
        <v>1323</v>
      </c>
      <c r="ES11" s="1337"/>
      <c r="ET11" s="1523"/>
      <c r="EU11" s="1523"/>
    </row>
    <row r="12" spans="1:151" s="793" customFormat="1" ht="14.25" customHeight="1">
      <c r="A12" s="828" t="s">
        <v>525</v>
      </c>
      <c r="B12" s="775" t="s">
        <v>523</v>
      </c>
      <c r="C12" s="776" t="s">
        <v>8</v>
      </c>
      <c r="D12" s="777" t="s">
        <v>25</v>
      </c>
      <c r="E12" s="775" t="s">
        <v>25</v>
      </c>
      <c r="F12" s="775">
        <v>31</v>
      </c>
      <c r="G12" s="778"/>
      <c r="H12" s="844"/>
      <c r="I12" s="351" t="s">
        <v>1104</v>
      </c>
      <c r="J12" s="350" t="s">
        <v>1137</v>
      </c>
      <c r="K12" s="350" t="s">
        <v>1113</v>
      </c>
      <c r="L12" s="350" t="s">
        <v>1132</v>
      </c>
      <c r="M12" s="350" t="s">
        <v>691</v>
      </c>
      <c r="N12" s="350" t="s">
        <v>56</v>
      </c>
      <c r="O12" s="780" t="s">
        <v>289</v>
      </c>
      <c r="P12" s="350" t="s">
        <v>500</v>
      </c>
      <c r="Q12" s="350" t="s">
        <v>501</v>
      </c>
      <c r="R12" s="350" t="s">
        <v>502</v>
      </c>
      <c r="S12" s="350"/>
      <c r="T12" s="350"/>
      <c r="U12" s="350"/>
      <c r="V12" s="350"/>
      <c r="W12" s="350"/>
      <c r="X12" s="781"/>
      <c r="Y12" s="832" t="s">
        <v>269</v>
      </c>
      <c r="Z12" s="780" t="s">
        <v>492</v>
      </c>
      <c r="AA12" s="780" t="s">
        <v>211</v>
      </c>
      <c r="AB12" s="780" t="s">
        <v>212</v>
      </c>
      <c r="AC12" s="350"/>
      <c r="AD12" s="350"/>
      <c r="AE12" s="350"/>
      <c r="AF12" s="781"/>
      <c r="AG12" s="782"/>
      <c r="AH12" s="350"/>
      <c r="AI12" s="350"/>
      <c r="AJ12" s="783"/>
      <c r="AK12" s="351"/>
      <c r="AL12" s="350"/>
      <c r="AM12" s="350"/>
      <c r="AN12" s="781"/>
      <c r="AO12" s="784"/>
      <c r="AP12" s="784"/>
      <c r="AQ12" s="784"/>
      <c r="AR12" s="834"/>
      <c r="AS12" s="782" t="s">
        <v>1138</v>
      </c>
      <c r="AT12" s="783"/>
      <c r="AU12" s="782" t="s">
        <v>1114</v>
      </c>
      <c r="AV12" s="783"/>
      <c r="AW12" s="782" t="s">
        <v>1133</v>
      </c>
      <c r="AX12" s="783"/>
      <c r="AY12" s="842">
        <f>IF(ISNUMBER(IF(Criterios!B13="SI",S12,S12+AG12)),IF(Criterios!B13="SI",S12,S12+AG12)," - ")</f>
        <v>0</v>
      </c>
      <c r="AZ12" s="843">
        <f>IF(ISNUMBER(IF(Criterios!B13="SI",T12,T12+AH12)),IF(Criterios!B13="SI",T12,T12+AH12)," - ")</f>
        <v>0</v>
      </c>
      <c r="BA12" s="843">
        <f>IF(ISNUMBER(IF(Criterios!B13="SI",U12,U12+AI12)),IF(Criterios!B13="SI",U12,U12+AI12)," - ")</f>
        <v>0</v>
      </c>
      <c r="BB12" s="843">
        <f>IF(ISNUMBER(IF(Criterios!B13="SI",V12,V12+AJ12)),IF(Criterios!B13="SI",V12,V12+AJ12)," - ")</f>
        <v>0</v>
      </c>
      <c r="BC12" s="787" t="str">
        <f>IF(ISNUMBER(X12),X12," - ")</f>
        <v xml:space="preserve"> - </v>
      </c>
      <c r="BD12" s="788" t="str">
        <f t="shared" si="0"/>
        <v xml:space="preserve"> - </v>
      </c>
      <c r="BE12" s="789" t="str">
        <f t="shared" si="1"/>
        <v xml:space="preserve"> - </v>
      </c>
      <c r="BF12" s="789" t="str">
        <f t="shared" si="2"/>
        <v xml:space="preserve"> - </v>
      </c>
      <c r="BG12" s="790" t="str">
        <f t="shared" si="3"/>
        <v xml:space="preserve"> - </v>
      </c>
      <c r="BH12" s="784"/>
      <c r="BI12" s="784"/>
      <c r="BJ12" s="782"/>
      <c r="BK12" s="784"/>
      <c r="BL12" s="784"/>
      <c r="BM12" s="796">
        <v>380</v>
      </c>
      <c r="BN12" s="803"/>
      <c r="BO12" s="803"/>
      <c r="BP12" s="803"/>
      <c r="BQ12" s="803"/>
      <c r="BR12" s="803"/>
      <c r="BS12" s="803"/>
      <c r="BT12" s="803"/>
      <c r="BU12" s="803"/>
      <c r="BV12" s="534" t="s">
        <v>667</v>
      </c>
      <c r="BW12" s="534" t="s">
        <v>503</v>
      </c>
      <c r="BX12" s="534" t="s">
        <v>504</v>
      </c>
      <c r="BY12" s="796" t="s">
        <v>1115</v>
      </c>
      <c r="BZ12" s="534"/>
      <c r="CA12" s="534" t="s">
        <v>370</v>
      </c>
      <c r="CB12" s="534" t="s">
        <v>365</v>
      </c>
      <c r="CC12" s="534" t="s">
        <v>366</v>
      </c>
      <c r="CD12" s="534" t="s">
        <v>367</v>
      </c>
      <c r="CE12" s="796"/>
      <c r="CF12" s="796"/>
      <c r="CG12" s="796"/>
      <c r="CH12" s="796"/>
      <c r="CI12" s="796" t="s">
        <v>649</v>
      </c>
      <c r="CJ12" s="796" t="s">
        <v>383</v>
      </c>
      <c r="CK12" s="534" t="s">
        <v>660</v>
      </c>
      <c r="CL12" s="534" t="s">
        <v>662</v>
      </c>
      <c r="CM12" s="534" t="s">
        <v>664</v>
      </c>
      <c r="CN12" s="841" t="s">
        <v>439</v>
      </c>
      <c r="CO12" s="796">
        <v>2880</v>
      </c>
      <c r="CP12" s="841" t="s">
        <v>396</v>
      </c>
      <c r="CQ12" s="841" t="s">
        <v>1116</v>
      </c>
      <c r="CR12" s="841"/>
      <c r="CS12" s="796"/>
      <c r="CT12" s="534"/>
      <c r="CU12" s="534"/>
      <c r="CV12" s="534" t="s">
        <v>671</v>
      </c>
      <c r="CW12" s="534" t="s">
        <v>443</v>
      </c>
      <c r="CX12" s="534" t="s">
        <v>458</v>
      </c>
      <c r="CY12" s="534" t="s">
        <v>579</v>
      </c>
      <c r="CZ12" s="534" t="s">
        <v>580</v>
      </c>
      <c r="DA12" s="534" t="s">
        <v>581</v>
      </c>
      <c r="DB12" s="836" t="s">
        <v>1139</v>
      </c>
      <c r="DC12" s="836" t="s">
        <v>1140</v>
      </c>
      <c r="DD12" s="534"/>
      <c r="DE12" s="534" t="s">
        <v>317</v>
      </c>
      <c r="DF12" s="534"/>
      <c r="DG12" s="534" t="s">
        <v>592</v>
      </c>
      <c r="DH12" s="534" t="s">
        <v>668</v>
      </c>
      <c r="DI12" s="534" t="s">
        <v>669</v>
      </c>
      <c r="DJ12" s="534" t="s">
        <v>670</v>
      </c>
      <c r="DK12" s="534"/>
      <c r="DL12" s="534"/>
      <c r="DM12" s="841"/>
      <c r="DN12" s="841"/>
      <c r="DO12" s="841"/>
      <c r="DP12" s="841"/>
      <c r="DQ12" s="841"/>
      <c r="DR12" s="841"/>
      <c r="DS12" s="841"/>
      <c r="DT12" s="841"/>
      <c r="DU12" s="841" t="s">
        <v>893</v>
      </c>
      <c r="DV12" s="841" t="s">
        <v>888</v>
      </c>
      <c r="DW12" s="841" t="s">
        <v>889</v>
      </c>
      <c r="DX12" s="841" t="s">
        <v>890</v>
      </c>
      <c r="DY12" s="841" t="s">
        <v>891</v>
      </c>
      <c r="DZ12" s="841"/>
      <c r="EA12" s="841"/>
      <c r="EB12" s="841"/>
      <c r="EC12" s="841"/>
      <c r="ED12" s="841"/>
      <c r="EE12" s="841"/>
      <c r="EF12" s="841"/>
      <c r="EG12" s="841"/>
      <c r="EH12" s="841"/>
      <c r="EI12" s="841"/>
      <c r="EJ12" s="841"/>
      <c r="EK12" s="841"/>
      <c r="EL12" s="841" t="s">
        <v>1081</v>
      </c>
      <c r="EM12" s="841" t="s">
        <v>1082</v>
      </c>
      <c r="EN12" s="534" t="s">
        <v>1080</v>
      </c>
      <c r="EO12" s="1323" t="s">
        <v>1100</v>
      </c>
      <c r="EP12" s="1323" t="s">
        <v>1117</v>
      </c>
      <c r="EQ12" s="1323" t="s">
        <v>1134</v>
      </c>
      <c r="ER12" s="1341">
        <v>680</v>
      </c>
      <c r="ES12" s="1338"/>
      <c r="ET12" s="1523"/>
      <c r="EU12" s="1523"/>
    </row>
    <row r="13" spans="1:151" ht="14.25" customHeight="1">
      <c r="A13" s="20" t="s">
        <v>145</v>
      </c>
      <c r="B13" s="21" t="s">
        <v>523</v>
      </c>
      <c r="C13" s="22" t="s">
        <v>8</v>
      </c>
      <c r="D13" s="23" t="s">
        <v>28</v>
      </c>
      <c r="E13" s="21" t="s">
        <v>28</v>
      </c>
      <c r="F13" s="21" t="s">
        <v>104</v>
      </c>
      <c r="G13" s="6"/>
      <c r="H13" s="29"/>
      <c r="I13" s="25" t="s">
        <v>141</v>
      </c>
      <c r="J13" s="26" t="s">
        <v>142</v>
      </c>
      <c r="K13" s="26" t="s">
        <v>143</v>
      </c>
      <c r="L13" s="26" t="s">
        <v>144</v>
      </c>
      <c r="M13" s="26" t="s">
        <v>140</v>
      </c>
      <c r="N13" s="26" t="s">
        <v>674</v>
      </c>
      <c r="O13" s="26" t="s">
        <v>297</v>
      </c>
      <c r="P13" s="26" t="s">
        <v>199</v>
      </c>
      <c r="Q13" s="26" t="s">
        <v>201</v>
      </c>
      <c r="R13" s="26" t="s">
        <v>200</v>
      </c>
      <c r="S13" s="26"/>
      <c r="T13" s="26"/>
      <c r="U13" s="26"/>
      <c r="V13" s="26"/>
      <c r="W13" s="26"/>
      <c r="X13" s="55"/>
      <c r="Y13" s="52"/>
      <c r="Z13" s="26"/>
      <c r="AA13" s="26"/>
      <c r="AB13" s="26"/>
      <c r="AC13" s="26"/>
      <c r="AD13" s="26"/>
      <c r="AE13" s="26"/>
      <c r="AF13" s="55"/>
      <c r="AG13" s="52"/>
      <c r="AH13" s="26"/>
      <c r="AI13" s="26"/>
      <c r="AJ13" s="27"/>
      <c r="AK13" s="25"/>
      <c r="AL13" s="26"/>
      <c r="AM13" s="26"/>
      <c r="AN13" s="55"/>
      <c r="AO13" s="62"/>
      <c r="AP13" s="62"/>
      <c r="AQ13" s="62"/>
      <c r="AR13" s="62"/>
      <c r="AS13" s="160" t="str">
        <f>IF( Año&lt;2006,"TCIVI251","")</f>
        <v/>
      </c>
      <c r="AT13" s="27"/>
      <c r="AU13" s="160" t="str">
        <f>IF( Año&lt;2006,"TCIVI351","")</f>
        <v/>
      </c>
      <c r="AV13" s="27"/>
      <c r="AW13" s="160" t="str">
        <f>IF( Año&lt;2006,"TCIVI451","")</f>
        <v/>
      </c>
      <c r="AX13" s="27"/>
      <c r="AY13" s="138" t="str">
        <f t="shared" ref="AY13:BC13" si="5">IF(ISNUMBER(S13),S13," - ")</f>
        <v xml:space="preserve"> - </v>
      </c>
      <c r="AZ13" s="139" t="str">
        <f t="shared" si="5"/>
        <v xml:space="preserve"> - </v>
      </c>
      <c r="BA13" s="139" t="str">
        <f t="shared" si="5"/>
        <v xml:space="preserve"> - </v>
      </c>
      <c r="BB13" s="139" t="str">
        <f t="shared" si="5"/>
        <v xml:space="preserve"> - </v>
      </c>
      <c r="BC13" s="135" t="str">
        <f t="shared" si="5"/>
        <v xml:space="preserve"> - </v>
      </c>
      <c r="BD13" s="107" t="str">
        <f t="shared" si="0"/>
        <v xml:space="preserve"> - </v>
      </c>
      <c r="BE13" s="108" t="str">
        <f t="shared" si="1"/>
        <v xml:space="preserve"> - </v>
      </c>
      <c r="BF13" s="108" t="str">
        <f t="shared" si="2"/>
        <v xml:space="preserve"> - </v>
      </c>
      <c r="BG13" s="109" t="str">
        <f t="shared" si="3"/>
        <v xml:space="preserve"> - </v>
      </c>
      <c r="BH13" s="62"/>
      <c r="BI13" s="62"/>
      <c r="BJ13" s="160"/>
      <c r="BK13" s="62"/>
      <c r="BL13" s="62"/>
      <c r="BM13" s="170">
        <v>0</v>
      </c>
      <c r="BN13" s="170"/>
      <c r="BO13" s="170"/>
      <c r="BP13" s="167"/>
      <c r="BQ13" s="167"/>
      <c r="BR13" s="167"/>
      <c r="BS13" s="167"/>
      <c r="BT13" s="170"/>
      <c r="BU13" s="170"/>
      <c r="BV13" s="170" t="s">
        <v>401</v>
      </c>
      <c r="BW13" s="170"/>
      <c r="BX13" s="170"/>
      <c r="BY13" s="170" t="s">
        <v>435</v>
      </c>
      <c r="BZ13" s="170"/>
      <c r="CA13" s="170"/>
      <c r="CB13" s="170"/>
      <c r="CC13" s="170"/>
      <c r="CD13" s="170"/>
      <c r="CE13" s="170"/>
      <c r="CF13" s="170"/>
      <c r="CG13" s="170"/>
      <c r="CH13" s="170"/>
      <c r="CI13" s="170" t="s">
        <v>385</v>
      </c>
      <c r="CJ13" s="170" t="s">
        <v>386</v>
      </c>
      <c r="CK13" s="170" t="s">
        <v>612</v>
      </c>
      <c r="CL13" s="170" t="s">
        <v>613</v>
      </c>
      <c r="CM13" s="170" t="s">
        <v>614</v>
      </c>
      <c r="CN13" s="170">
        <v>1262</v>
      </c>
      <c r="CO13" s="170"/>
      <c r="CP13" s="170">
        <v>1262</v>
      </c>
      <c r="CQ13" s="170" t="s">
        <v>436</v>
      </c>
      <c r="CR13" s="170"/>
      <c r="CS13" s="170"/>
      <c r="CT13" s="169"/>
      <c r="CU13" s="169"/>
      <c r="CV13" s="169" t="s">
        <v>412</v>
      </c>
      <c r="CW13" s="169"/>
      <c r="CX13" s="169"/>
      <c r="CY13" s="169"/>
      <c r="CZ13" s="169"/>
      <c r="DA13" s="169"/>
      <c r="DB13" s="160" t="s">
        <v>142</v>
      </c>
      <c r="DC13" s="356"/>
      <c r="DD13" s="169"/>
      <c r="DE13" s="169" t="s">
        <v>318</v>
      </c>
      <c r="DF13" s="169"/>
      <c r="DG13" s="534"/>
      <c r="DH13" s="170" t="s">
        <v>561</v>
      </c>
      <c r="DI13" s="170" t="s">
        <v>562</v>
      </c>
      <c r="DJ13" s="170" t="s">
        <v>563</v>
      </c>
      <c r="DK13" s="170"/>
      <c r="DL13" s="170"/>
      <c r="DM13" s="315"/>
      <c r="DN13" s="315"/>
      <c r="DO13" s="315"/>
      <c r="DP13" s="315"/>
      <c r="DQ13" s="315"/>
      <c r="DR13" s="315"/>
      <c r="DS13" s="315"/>
      <c r="DT13" s="315"/>
      <c r="DU13" s="315"/>
      <c r="DV13" s="315"/>
      <c r="DW13" s="315"/>
      <c r="DX13" s="315"/>
      <c r="DY13" s="315"/>
      <c r="DZ13" s="315"/>
      <c r="EA13" s="315"/>
      <c r="EB13" s="315"/>
      <c r="EC13" s="315"/>
      <c r="ED13" s="315"/>
      <c r="EE13" s="315"/>
      <c r="EF13" s="315"/>
      <c r="EG13" s="315"/>
      <c r="EH13" s="315"/>
      <c r="EI13" s="315"/>
      <c r="EJ13" s="315"/>
      <c r="EK13" s="315"/>
      <c r="EL13" s="315"/>
      <c r="EM13" s="315"/>
      <c r="EN13" s="315"/>
      <c r="EO13" s="1321" t="s">
        <v>142</v>
      </c>
      <c r="EP13" s="1321" t="s">
        <v>143</v>
      </c>
      <c r="EQ13" s="1321" t="s">
        <v>144</v>
      </c>
      <c r="ER13" s="1343">
        <v>875</v>
      </c>
      <c r="ES13" s="1339"/>
      <c r="ET13" s="1523"/>
      <c r="EU13" s="1523"/>
    </row>
    <row r="14" spans="1:151" ht="14.25" customHeight="1" thickBot="1">
      <c r="A14" s="77" t="s">
        <v>5</v>
      </c>
      <c r="B14" s="78" t="s">
        <v>523</v>
      </c>
      <c r="C14" s="79" t="s">
        <v>9</v>
      </c>
      <c r="D14" s="80"/>
      <c r="E14" s="81"/>
      <c r="F14" s="81"/>
      <c r="G14" s="82"/>
      <c r="H14" s="83"/>
      <c r="I14" s="113">
        <f t="shared" ref="I14:N14" si="6">SUBTOTAL(9,I9:I13)</f>
        <v>0</v>
      </c>
      <c r="J14" s="113">
        <f t="shared" si="6"/>
        <v>0</v>
      </c>
      <c r="K14" s="113">
        <f t="shared" si="6"/>
        <v>0</v>
      </c>
      <c r="L14" s="113">
        <f t="shared" si="6"/>
        <v>0</v>
      </c>
      <c r="M14" s="113">
        <f t="shared" si="6"/>
        <v>0</v>
      </c>
      <c r="N14" s="113">
        <f t="shared" si="6"/>
        <v>0</v>
      </c>
      <c r="O14" s="113"/>
      <c r="P14" s="113">
        <f t="shared" ref="P14:BC14" si="7">SUBTOTAL(9,P9:P13)</f>
        <v>0</v>
      </c>
      <c r="Q14" s="113">
        <f t="shared" si="7"/>
        <v>0</v>
      </c>
      <c r="R14" s="113">
        <f t="shared" si="7"/>
        <v>0</v>
      </c>
      <c r="S14" s="113">
        <f t="shared" si="7"/>
        <v>0</v>
      </c>
      <c r="T14" s="113">
        <f t="shared" si="7"/>
        <v>0</v>
      </c>
      <c r="U14" s="113">
        <f t="shared" si="7"/>
        <v>0</v>
      </c>
      <c r="V14" s="113">
        <f t="shared" si="7"/>
        <v>0</v>
      </c>
      <c r="W14" s="113">
        <f t="shared" si="7"/>
        <v>0</v>
      </c>
      <c r="X14" s="113">
        <f t="shared" si="7"/>
        <v>0</v>
      </c>
      <c r="Y14" s="114">
        <f t="shared" si="7"/>
        <v>0</v>
      </c>
      <c r="Z14" s="113">
        <f t="shared" si="7"/>
        <v>0</v>
      </c>
      <c r="AA14" s="113">
        <f t="shared" si="7"/>
        <v>0</v>
      </c>
      <c r="AB14" s="113">
        <f t="shared" si="7"/>
        <v>0</v>
      </c>
      <c r="AC14" s="113">
        <f t="shared" si="7"/>
        <v>0</v>
      </c>
      <c r="AD14" s="113">
        <f t="shared" si="7"/>
        <v>0</v>
      </c>
      <c r="AE14" s="113">
        <f t="shared" si="7"/>
        <v>0</v>
      </c>
      <c r="AF14" s="113">
        <f t="shared" si="7"/>
        <v>0</v>
      </c>
      <c r="AG14" s="114">
        <f t="shared" si="7"/>
        <v>0</v>
      </c>
      <c r="AH14" s="113">
        <f t="shared" si="7"/>
        <v>0</v>
      </c>
      <c r="AI14" s="113">
        <f t="shared" si="7"/>
        <v>0</v>
      </c>
      <c r="AJ14" s="115">
        <f t="shared" si="7"/>
        <v>0</v>
      </c>
      <c r="AK14" s="84">
        <f t="shared" si="7"/>
        <v>0</v>
      </c>
      <c r="AL14" s="113">
        <f t="shared" si="7"/>
        <v>0</v>
      </c>
      <c r="AM14" s="113">
        <f t="shared" si="7"/>
        <v>0</v>
      </c>
      <c r="AN14" s="117">
        <f t="shared" si="7"/>
        <v>0</v>
      </c>
      <c r="AO14" s="116">
        <f t="shared" si="7"/>
        <v>0</v>
      </c>
      <c r="AP14" s="116">
        <f t="shared" si="7"/>
        <v>0</v>
      </c>
      <c r="AQ14" s="116">
        <f t="shared" si="7"/>
        <v>0</v>
      </c>
      <c r="AR14" s="116">
        <f t="shared" si="7"/>
        <v>0</v>
      </c>
      <c r="AS14" s="116">
        <f t="shared" si="7"/>
        <v>0</v>
      </c>
      <c r="AT14" s="116">
        <f t="shared" si="7"/>
        <v>0</v>
      </c>
      <c r="AU14" s="116">
        <f t="shared" si="7"/>
        <v>0</v>
      </c>
      <c r="AV14" s="116">
        <f t="shared" si="7"/>
        <v>0</v>
      </c>
      <c r="AW14" s="116">
        <f t="shared" si="7"/>
        <v>0</v>
      </c>
      <c r="AX14" s="116">
        <f t="shared" si="7"/>
        <v>0</v>
      </c>
      <c r="AY14" s="140">
        <f t="shared" si="7"/>
        <v>0</v>
      </c>
      <c r="AZ14" s="141">
        <f t="shared" si="7"/>
        <v>0</v>
      </c>
      <c r="BA14" s="141">
        <f t="shared" si="7"/>
        <v>0</v>
      </c>
      <c r="BB14" s="141">
        <f t="shared" si="7"/>
        <v>0</v>
      </c>
      <c r="BC14" s="142">
        <f t="shared" si="7"/>
        <v>0</v>
      </c>
      <c r="BD14" s="121" t="str">
        <f>IF(ISNUMBER(BA14/AZ14),BA14/AZ14," - ")</f>
        <v xml:space="preserve"> - </v>
      </c>
      <c r="BE14" s="122" t="str">
        <f>IF(ISNUMBER(BB14/BA14),BB14/BA14, " - ")</f>
        <v xml:space="preserve"> - </v>
      </c>
      <c r="BF14" s="122" t="str">
        <f>IF(ISNUMBER(BC14/BA14),BC14/BA14, " - ")</f>
        <v xml:space="preserve"> - </v>
      </c>
      <c r="BG14" s="123" t="str">
        <f>IF(ISNUMBER((AY14+AZ14)/BA14),(AY14+AZ14)/BA14," - ")</f>
        <v xml:space="preserve"> - </v>
      </c>
      <c r="BH14" s="116">
        <f>SUBTOTAL(9,BH9:BH13)</f>
        <v>0</v>
      </c>
      <c r="BI14" s="116">
        <f>SUBTOTAL(9,BI9:BI13)</f>
        <v>0</v>
      </c>
      <c r="BJ14" s="114"/>
      <c r="BK14" s="116">
        <f>SUBTOTAL(9,BK9:BK13)</f>
        <v>0</v>
      </c>
      <c r="BL14" s="116"/>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f>SUM(CI9:CI13)</f>
        <v>0</v>
      </c>
      <c r="CJ14" s="164">
        <f>SUM(CJ9:CJ13)</f>
        <v>0</v>
      </c>
      <c r="CK14" s="164"/>
      <c r="CL14" s="164"/>
      <c r="CM14" s="164"/>
      <c r="CN14" s="164"/>
      <c r="CO14" s="164"/>
      <c r="CP14" s="164"/>
      <c r="CQ14" s="164"/>
      <c r="CR14" s="164"/>
      <c r="CS14" s="164"/>
      <c r="CT14" s="164"/>
      <c r="CU14" s="164"/>
      <c r="CV14" s="164"/>
      <c r="CW14" s="164"/>
      <c r="CX14" s="164"/>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64"/>
      <c r="EM14" s="164"/>
      <c r="EN14" s="164"/>
      <c r="EO14" s="357"/>
      <c r="EP14" s="357"/>
      <c r="EQ14" s="357"/>
      <c r="ER14" s="164">
        <f>AVERAGE(ER8:ER13)</f>
        <v>971</v>
      </c>
      <c r="ES14" s="164">
        <f>SUBTOTAL(9,ES8:ES13)</f>
        <v>0</v>
      </c>
      <c r="ET14" s="1524"/>
      <c r="EU14" s="1524"/>
    </row>
    <row r="15" spans="1:151" ht="14.25" customHeight="1">
      <c r="A15" s="73" t="s">
        <v>147</v>
      </c>
      <c r="B15" s="85" t="s">
        <v>523</v>
      </c>
      <c r="C15" s="86" t="s">
        <v>7</v>
      </c>
      <c r="D15" s="87"/>
      <c r="E15" s="88"/>
      <c r="F15" s="88"/>
      <c r="G15" s="89"/>
      <c r="H15" s="90"/>
      <c r="I15" s="91"/>
      <c r="J15" s="18"/>
      <c r="K15" s="18"/>
      <c r="L15" s="18"/>
      <c r="M15" s="18"/>
      <c r="N15" s="18"/>
      <c r="O15" s="18"/>
      <c r="P15" s="18"/>
      <c r="Q15" s="18"/>
      <c r="R15" s="18"/>
      <c r="S15" s="18"/>
      <c r="T15" s="18"/>
      <c r="U15" s="18"/>
      <c r="V15" s="18"/>
      <c r="W15" s="18"/>
      <c r="X15" s="54"/>
      <c r="Y15" s="51"/>
      <c r="Z15" s="18"/>
      <c r="AA15" s="18"/>
      <c r="AB15" s="18"/>
      <c r="AC15" s="18"/>
      <c r="AD15" s="18"/>
      <c r="AE15" s="18"/>
      <c r="AF15" s="54"/>
      <c r="AG15" s="51"/>
      <c r="AH15" s="18"/>
      <c r="AI15" s="18"/>
      <c r="AJ15" s="19"/>
      <c r="AK15" s="17"/>
      <c r="AL15" s="18"/>
      <c r="AM15" s="18"/>
      <c r="AN15" s="54"/>
      <c r="AO15" s="63"/>
      <c r="AP15" s="63"/>
      <c r="AQ15" s="63"/>
      <c r="AR15" s="63"/>
      <c r="AS15" s="352"/>
      <c r="AT15" s="208"/>
      <c r="AU15" s="352"/>
      <c r="AV15" s="208"/>
      <c r="AW15" s="207"/>
      <c r="AX15" s="208"/>
      <c r="AY15" s="110"/>
      <c r="AZ15" s="111"/>
      <c r="BA15" s="111"/>
      <c r="BB15" s="111"/>
      <c r="BC15" s="112"/>
      <c r="BD15" s="110"/>
      <c r="BE15" s="111"/>
      <c r="BF15" s="111"/>
      <c r="BG15" s="112"/>
      <c r="BH15" s="63"/>
      <c r="BI15" s="63"/>
      <c r="BJ15" s="51"/>
      <c r="BK15" s="63"/>
      <c r="BL15" s="63"/>
      <c r="BM15" s="165"/>
      <c r="BN15" s="165"/>
      <c r="BO15" s="165"/>
      <c r="BP15" s="165"/>
      <c r="BQ15" s="165"/>
      <c r="BR15" s="165"/>
      <c r="BS15" s="165"/>
      <c r="BT15" s="165"/>
      <c r="BU15" s="165"/>
      <c r="BV15" s="165"/>
      <c r="BW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352"/>
      <c r="DC15" s="353"/>
      <c r="DD15" s="360"/>
      <c r="DE15" s="360"/>
      <c r="DF15" s="360"/>
      <c r="DG15" s="165"/>
      <c r="DH15" s="165"/>
      <c r="DI15" s="165"/>
      <c r="DJ15" s="165"/>
      <c r="DK15" s="165"/>
      <c r="DL15" s="165"/>
      <c r="DM15" s="165"/>
      <c r="DN15" s="165"/>
      <c r="DO15" s="165"/>
      <c r="DP15" s="165"/>
      <c r="DQ15" s="165"/>
      <c r="DR15" s="165"/>
      <c r="DS15" s="165"/>
      <c r="DT15" s="165"/>
      <c r="DU15" s="165"/>
      <c r="DV15" s="165"/>
      <c r="DW15" s="165"/>
      <c r="DX15" s="165"/>
      <c r="DY15" s="165"/>
      <c r="DZ15" s="165"/>
      <c r="EA15" s="165"/>
      <c r="EB15" s="165"/>
      <c r="EC15" s="165"/>
      <c r="ED15" s="165"/>
      <c r="EE15" s="165"/>
      <c r="EF15" s="165"/>
      <c r="EG15" s="165"/>
      <c r="EH15" s="165"/>
      <c r="EI15" s="165"/>
      <c r="EJ15" s="165"/>
      <c r="EK15" s="165"/>
      <c r="EL15" s="165"/>
      <c r="EM15" s="165"/>
      <c r="EN15" s="165"/>
      <c r="EO15" s="352"/>
      <c r="EP15" s="352"/>
      <c r="EQ15" s="352"/>
      <c r="ER15" s="380"/>
      <c r="ES15" s="380"/>
      <c r="ET15" s="196"/>
      <c r="EU15" s="196"/>
    </row>
    <row r="16" spans="1:151" s="793" customFormat="1" ht="14.25" customHeight="1">
      <c r="A16" s="751" t="s">
        <v>526</v>
      </c>
      <c r="B16" s="775" t="s">
        <v>523</v>
      </c>
      <c r="C16" s="776" t="s">
        <v>8</v>
      </c>
      <c r="D16" s="777" t="s">
        <v>25</v>
      </c>
      <c r="E16" s="775" t="s">
        <v>27</v>
      </c>
      <c r="F16" s="775">
        <v>33</v>
      </c>
      <c r="G16" s="778"/>
      <c r="H16" s="779"/>
      <c r="I16" s="351" t="s">
        <v>694</v>
      </c>
      <c r="J16" s="350" t="s">
        <v>1060</v>
      </c>
      <c r="K16" s="350" t="s">
        <v>1068</v>
      </c>
      <c r="L16" s="350" t="s">
        <v>1073</v>
      </c>
      <c r="M16" s="350" t="s">
        <v>693</v>
      </c>
      <c r="N16" s="350" t="s">
        <v>425</v>
      </c>
      <c r="O16" s="780" t="s">
        <v>426</v>
      </c>
      <c r="P16" s="350" t="s">
        <v>639</v>
      </c>
      <c r="Q16" s="350" t="s">
        <v>640</v>
      </c>
      <c r="R16" s="350" t="s">
        <v>641</v>
      </c>
      <c r="S16" s="350"/>
      <c r="T16" s="350"/>
      <c r="U16" s="350"/>
      <c r="V16" s="350"/>
      <c r="W16" s="350"/>
      <c r="X16" s="781"/>
      <c r="Y16" s="782"/>
      <c r="Z16" s="350"/>
      <c r="AA16" s="350"/>
      <c r="AB16" s="350"/>
      <c r="AC16" s="350" t="s">
        <v>66</v>
      </c>
      <c r="AD16" s="350" t="s">
        <v>75</v>
      </c>
      <c r="AE16" s="350" t="s">
        <v>76</v>
      </c>
      <c r="AF16" s="781" t="s">
        <v>77</v>
      </c>
      <c r="AG16" s="782"/>
      <c r="AH16" s="350"/>
      <c r="AI16" s="350"/>
      <c r="AJ16" s="783"/>
      <c r="AK16" s="351"/>
      <c r="AL16" s="350"/>
      <c r="AM16" s="350"/>
      <c r="AN16" s="781"/>
      <c r="AO16" s="784"/>
      <c r="AP16" s="784"/>
      <c r="AQ16" s="784"/>
      <c r="AR16" s="784"/>
      <c r="AS16" s="782" t="s">
        <v>1006</v>
      </c>
      <c r="AT16" s="783" t="s">
        <v>953</v>
      </c>
      <c r="AU16" s="782" t="s">
        <v>705</v>
      </c>
      <c r="AV16" s="783" t="s">
        <v>954</v>
      </c>
      <c r="AW16" s="782" t="s">
        <v>706</v>
      </c>
      <c r="AX16" s="783" t="s">
        <v>955</v>
      </c>
      <c r="AY16" s="785" t="str">
        <f>IF(ISNUMBER(IF(Criterios!B14="SI",S16,S16+AK16)),IF(Criterios!B14="SI",S16,S16+AK16)," - ")</f>
        <v xml:space="preserve"> - </v>
      </c>
      <c r="AZ16" s="786" t="str">
        <f>IF(ISNUMBER(IF(Criterios!B14="SI",T16,T16+AL16)),IF(Criterios!B14="SI",T16,T16+AL16)," - ")</f>
        <v xml:space="preserve"> - </v>
      </c>
      <c r="BA16" s="786" t="str">
        <f>IF(ISNUMBER(IF(Criterios!B14="SI",U16,U16+AM16)),IF(Criterios!B14="SI",U16,U16+AM16)," - ")</f>
        <v xml:space="preserve"> - </v>
      </c>
      <c r="BB16" s="786" t="str">
        <f>IF(ISNUMBER(IF(Criterios!B14="SI",V16,V16+AN16)),IF(Criterios!B14="SI",V16,V16+AN16)," - ")</f>
        <v xml:space="preserve"> - </v>
      </c>
      <c r="BC16" s="787" t="str">
        <f t="shared" ref="BC16:BC22" si="8">IF(ISNUMBER(W16),W16," - ")</f>
        <v xml:space="preserve"> - </v>
      </c>
      <c r="BD16" s="788" t="str">
        <f t="shared" ref="BD16:BD22" si="9">IF(ISNUMBER(BA16/AZ16),BA16/AZ16," - ")</f>
        <v xml:space="preserve"> - </v>
      </c>
      <c r="BE16" s="789" t="str">
        <f t="shared" ref="BE16:BE22" si="10">IF(ISNUMBER(BB16/BA16),BB16/BA16, " - ")</f>
        <v xml:space="preserve"> - </v>
      </c>
      <c r="BF16" s="789" t="str">
        <f t="shared" ref="BF16:BF22" si="11">IF(ISNUMBER(BC16/BA16),BC16/BA16, " - ")</f>
        <v xml:space="preserve"> - </v>
      </c>
      <c r="BG16" s="790" t="str">
        <f t="shared" ref="BG16:BG22" si="12">IF(ISNUMBER((AY16+AZ16)/BA16),(AY16+AZ16)/BA16," - ")</f>
        <v xml:space="preserve"> - </v>
      </c>
      <c r="BH16" s="784"/>
      <c r="BI16" s="784"/>
      <c r="BJ16" s="782"/>
      <c r="BK16" s="784"/>
      <c r="BL16" s="784"/>
      <c r="BM16" s="791">
        <v>6650</v>
      </c>
      <c r="BN16" s="791"/>
      <c r="BO16" s="791"/>
      <c r="BP16" s="791"/>
      <c r="BQ16" s="791"/>
      <c r="BR16" s="791"/>
      <c r="BS16" s="791"/>
      <c r="BT16" s="791"/>
      <c r="BU16" s="791"/>
      <c r="BV16" s="791" t="s">
        <v>499</v>
      </c>
      <c r="BW16" s="791" t="s">
        <v>394</v>
      </c>
      <c r="BX16" s="791" t="s">
        <v>395</v>
      </c>
      <c r="BY16" s="792" t="s">
        <v>1042</v>
      </c>
      <c r="BZ16" s="792" t="s">
        <v>1124</v>
      </c>
      <c r="CA16" s="791"/>
      <c r="CB16" s="791"/>
      <c r="CC16" s="791"/>
      <c r="CD16" s="791"/>
      <c r="CE16" s="791"/>
      <c r="CF16" s="791"/>
      <c r="CG16" s="791"/>
      <c r="CH16" s="791"/>
      <c r="CI16" s="791" t="s">
        <v>655</v>
      </c>
      <c r="CJ16" s="791" t="s">
        <v>518</v>
      </c>
      <c r="CK16" s="791" t="s">
        <v>615</v>
      </c>
      <c r="CL16" s="791" t="s">
        <v>616</v>
      </c>
      <c r="CM16" s="791" t="s">
        <v>617</v>
      </c>
      <c r="CN16" s="791">
        <v>1262</v>
      </c>
      <c r="CO16" s="791">
        <v>6600</v>
      </c>
      <c r="CP16" s="791">
        <v>1262</v>
      </c>
      <c r="CQ16" s="792" t="s">
        <v>695</v>
      </c>
      <c r="CR16" s="792" t="s">
        <v>1118</v>
      </c>
      <c r="CS16" s="791" t="s">
        <v>508</v>
      </c>
      <c r="CT16" s="534"/>
      <c r="CU16" s="534"/>
      <c r="CV16" s="534" t="s">
        <v>493</v>
      </c>
      <c r="CW16" s="534" t="s">
        <v>444</v>
      </c>
      <c r="CX16" s="534" t="s">
        <v>223</v>
      </c>
      <c r="CY16" s="534"/>
      <c r="CZ16" s="534"/>
      <c r="DA16" s="534"/>
      <c r="DB16" s="363" t="s">
        <v>1061</v>
      </c>
      <c r="DC16" s="363" t="s">
        <v>1062</v>
      </c>
      <c r="DD16" s="534"/>
      <c r="DE16" s="534" t="s">
        <v>703</v>
      </c>
      <c r="DF16" s="534" t="s">
        <v>535</v>
      </c>
      <c r="DG16" s="534"/>
      <c r="DH16" s="791" t="s">
        <v>552</v>
      </c>
      <c r="DI16" s="791" t="s">
        <v>553</v>
      </c>
      <c r="DJ16" s="791" t="s">
        <v>554</v>
      </c>
      <c r="DK16" s="791"/>
      <c r="DL16" s="791"/>
      <c r="DM16" s="791"/>
      <c r="DN16" s="791"/>
      <c r="DO16" s="791"/>
      <c r="DP16" s="791"/>
      <c r="DQ16" s="791"/>
      <c r="DR16" s="791"/>
      <c r="DS16" s="791"/>
      <c r="DT16" s="791"/>
      <c r="DU16" s="791" t="s">
        <v>814</v>
      </c>
      <c r="DV16" s="791"/>
      <c r="DW16" s="791"/>
      <c r="DX16" s="791"/>
      <c r="DY16" s="791"/>
      <c r="DZ16" s="791"/>
      <c r="EA16" s="791"/>
      <c r="EB16" s="791" t="s">
        <v>1003</v>
      </c>
      <c r="EC16" s="791" t="s">
        <v>827</v>
      </c>
      <c r="ED16" s="791"/>
      <c r="EE16" s="791">
        <v>6000</v>
      </c>
      <c r="EF16" s="791">
        <v>650</v>
      </c>
      <c r="EG16" s="791"/>
      <c r="EH16" s="791"/>
      <c r="EI16" s="791" t="s">
        <v>828</v>
      </c>
      <c r="EJ16" s="791"/>
      <c r="EK16" s="791"/>
      <c r="EL16" s="791"/>
      <c r="EM16" s="791"/>
      <c r="EN16" s="791"/>
      <c r="EO16" s="1322" t="s">
        <v>1101</v>
      </c>
      <c r="EP16" s="1322" t="s">
        <v>1119</v>
      </c>
      <c r="EQ16" s="1322" t="s">
        <v>1135</v>
      </c>
      <c r="ER16" s="1345" t="s">
        <v>1051</v>
      </c>
      <c r="ES16" s="1337"/>
      <c r="ET16" s="1523"/>
      <c r="EU16" s="1523"/>
    </row>
    <row r="17" spans="1:151" ht="14.25" customHeight="1">
      <c r="A17" s="7" t="s">
        <v>525</v>
      </c>
      <c r="B17" s="21" t="s">
        <v>523</v>
      </c>
      <c r="C17" s="22" t="s">
        <v>8</v>
      </c>
      <c r="D17" s="23" t="s">
        <v>25</v>
      </c>
      <c r="E17" s="21" t="s">
        <v>25</v>
      </c>
      <c r="F17" s="21">
        <v>31</v>
      </c>
      <c r="G17" s="6"/>
      <c r="H17" s="24"/>
      <c r="I17" s="25" t="s">
        <v>694</v>
      </c>
      <c r="J17" s="26" t="s">
        <v>1063</v>
      </c>
      <c r="K17" s="26" t="s">
        <v>1069</v>
      </c>
      <c r="L17" s="26" t="s">
        <v>1074</v>
      </c>
      <c r="M17" s="26" t="s">
        <v>693</v>
      </c>
      <c r="N17" s="26" t="s">
        <v>203</v>
      </c>
      <c r="O17" s="60" t="s">
        <v>290</v>
      </c>
      <c r="P17" s="26" t="s">
        <v>639</v>
      </c>
      <c r="Q17" s="26" t="s">
        <v>640</v>
      </c>
      <c r="R17" s="26" t="s">
        <v>641</v>
      </c>
      <c r="S17" s="26"/>
      <c r="T17" s="26"/>
      <c r="U17" s="26"/>
      <c r="V17" s="26"/>
      <c r="W17" s="26"/>
      <c r="X17" s="55"/>
      <c r="Y17" s="52"/>
      <c r="Z17" s="26"/>
      <c r="AA17" s="26"/>
      <c r="AB17" s="26"/>
      <c r="AC17" s="26" t="s">
        <v>66</v>
      </c>
      <c r="AD17" s="26" t="s">
        <v>75</v>
      </c>
      <c r="AE17" s="26" t="s">
        <v>76</v>
      </c>
      <c r="AF17" s="55" t="s">
        <v>77</v>
      </c>
      <c r="AG17" s="52"/>
      <c r="AH17" s="26"/>
      <c r="AI17" s="26"/>
      <c r="AJ17" s="27"/>
      <c r="AK17" s="25"/>
      <c r="AL17" s="26"/>
      <c r="AM17" s="26"/>
      <c r="AN17" s="55"/>
      <c r="AO17" s="62"/>
      <c r="AP17" s="62"/>
      <c r="AQ17" s="62"/>
      <c r="AR17" s="62"/>
      <c r="AS17" s="52" t="s">
        <v>1064</v>
      </c>
      <c r="AT17" s="27"/>
      <c r="AU17" s="52" t="s">
        <v>1070</v>
      </c>
      <c r="AV17" s="27"/>
      <c r="AW17" s="52" t="s">
        <v>1075</v>
      </c>
      <c r="AX17" s="27"/>
      <c r="AY17" s="136" t="str">
        <f>IF(ISNUMBER(IF(Criterios!B14="SI",S17,S17+AK17)),IF(Criterios!B14="SI",S17,S17+AK17)," - ")</f>
        <v xml:space="preserve"> - </v>
      </c>
      <c r="AZ17" s="137" t="str">
        <f>IF(ISNUMBER(IF(Criterios!B14="SI",T17,T17+AL17)),IF(Criterios!B14="SI",T17,T17+AL17)," - ")</f>
        <v xml:space="preserve"> - </v>
      </c>
      <c r="BA17" s="137" t="str">
        <f>IF(ISNUMBER(IF(Criterios!B14="SI",U17,U17+AM17)),IF(Criterios!B14="SI",U17,U17+AM17)," - ")</f>
        <v xml:space="preserve"> - </v>
      </c>
      <c r="BB17" s="137" t="str">
        <f>IF(ISNUMBER(IF(Criterios!B14="SI",V17,V17+AN17)),IF(Criterios!B14="SI",V17,V17+AN17)," - ")</f>
        <v xml:space="preserve"> - </v>
      </c>
      <c r="BC17" s="135" t="str">
        <f t="shared" si="8"/>
        <v xml:space="preserve"> - </v>
      </c>
      <c r="BD17" s="107" t="str">
        <f t="shared" si="9"/>
        <v xml:space="preserve"> - </v>
      </c>
      <c r="BE17" s="108" t="str">
        <f t="shared" si="10"/>
        <v xml:space="preserve"> - </v>
      </c>
      <c r="BF17" s="108" t="str">
        <f t="shared" si="11"/>
        <v xml:space="preserve"> - </v>
      </c>
      <c r="BG17" s="109" t="str">
        <f t="shared" si="12"/>
        <v xml:space="preserve"> - </v>
      </c>
      <c r="BH17" s="62"/>
      <c r="BI17" s="62"/>
      <c r="BJ17" s="52"/>
      <c r="BK17" s="62"/>
      <c r="BL17" s="62"/>
      <c r="BM17" s="170">
        <v>2500</v>
      </c>
      <c r="BN17" s="168"/>
      <c r="BO17" s="168"/>
      <c r="BP17" s="168"/>
      <c r="BQ17" s="168"/>
      <c r="BR17" s="168"/>
      <c r="BS17" s="168"/>
      <c r="BT17" s="167"/>
      <c r="BU17" s="167"/>
      <c r="BV17" s="168" t="s">
        <v>499</v>
      </c>
      <c r="BW17" s="168" t="s">
        <v>497</v>
      </c>
      <c r="BX17" s="168" t="s">
        <v>498</v>
      </c>
      <c r="BY17" s="186" t="s">
        <v>710</v>
      </c>
      <c r="BZ17" s="170"/>
      <c r="CA17" s="170"/>
      <c r="CB17" s="170"/>
      <c r="CC17" s="170"/>
      <c r="CD17" s="170"/>
      <c r="CE17" s="170"/>
      <c r="CF17" s="170"/>
      <c r="CG17" s="170"/>
      <c r="CH17" s="170"/>
      <c r="CI17" s="170" t="s">
        <v>655</v>
      </c>
      <c r="CJ17" s="170" t="s">
        <v>518</v>
      </c>
      <c r="CK17" s="168" t="s">
        <v>615</v>
      </c>
      <c r="CL17" s="168" t="s">
        <v>616</v>
      </c>
      <c r="CM17" s="168" t="s">
        <v>617</v>
      </c>
      <c r="CN17" s="315" t="s">
        <v>439</v>
      </c>
      <c r="CO17" s="170">
        <v>2880</v>
      </c>
      <c r="CP17" s="228" t="s">
        <v>397</v>
      </c>
      <c r="CQ17" s="228" t="s">
        <v>695</v>
      </c>
      <c r="CR17" s="228"/>
      <c r="CS17" s="168" t="s">
        <v>508</v>
      </c>
      <c r="CT17" s="169"/>
      <c r="CU17" s="169"/>
      <c r="CV17" s="169" t="s">
        <v>493</v>
      </c>
      <c r="CW17" s="169" t="s">
        <v>444</v>
      </c>
      <c r="CX17" s="169" t="s">
        <v>223</v>
      </c>
      <c r="CY17" s="169"/>
      <c r="CZ17" s="169"/>
      <c r="DA17" s="169"/>
      <c r="DB17" s="160" t="s">
        <v>1065</v>
      </c>
      <c r="DC17" s="160" t="s">
        <v>1066</v>
      </c>
      <c r="DD17" s="169"/>
      <c r="DE17" s="169" t="s">
        <v>703</v>
      </c>
      <c r="DF17" s="169" t="s">
        <v>535</v>
      </c>
      <c r="DG17" s="534"/>
      <c r="DH17" s="168" t="s">
        <v>552</v>
      </c>
      <c r="DI17" s="168" t="s">
        <v>553</v>
      </c>
      <c r="DJ17" s="168" t="s">
        <v>554</v>
      </c>
      <c r="DK17" s="168"/>
      <c r="DL17" s="168"/>
      <c r="DM17" s="168"/>
      <c r="DN17" s="168"/>
      <c r="DO17" s="168"/>
      <c r="DP17" s="168"/>
      <c r="DQ17" s="168"/>
      <c r="DR17" s="168"/>
      <c r="DS17" s="168"/>
      <c r="DT17" s="168"/>
      <c r="DU17" s="168" t="s">
        <v>814</v>
      </c>
      <c r="DV17" s="168"/>
      <c r="DW17" s="168"/>
      <c r="DX17" s="168"/>
      <c r="DY17" s="168"/>
      <c r="DZ17" s="168"/>
      <c r="EA17" s="168"/>
      <c r="EB17" s="168"/>
      <c r="EC17" s="168"/>
      <c r="ED17" s="168"/>
      <c r="EE17" s="168"/>
      <c r="EF17" s="168"/>
      <c r="EG17" s="168"/>
      <c r="EH17" s="168"/>
      <c r="EI17" s="168" t="s">
        <v>828</v>
      </c>
      <c r="EJ17" s="168"/>
      <c r="EK17" s="168"/>
      <c r="EL17" s="168"/>
      <c r="EM17" s="168"/>
      <c r="EN17" s="168"/>
      <c r="EO17" s="1322" t="s">
        <v>1067</v>
      </c>
      <c r="EP17" s="1322" t="s">
        <v>1071</v>
      </c>
      <c r="EQ17" s="1322" t="s">
        <v>1076</v>
      </c>
      <c r="ER17" s="1343">
        <v>1000</v>
      </c>
      <c r="ES17" s="1337"/>
      <c r="ET17" s="1523"/>
      <c r="EU17" s="1523"/>
    </row>
    <row r="18" spans="1:151" ht="14.25" customHeight="1">
      <c r="A18" s="7" t="s">
        <v>191</v>
      </c>
      <c r="B18" s="21" t="s">
        <v>523</v>
      </c>
      <c r="C18" s="22" t="s">
        <v>8</v>
      </c>
      <c r="D18" s="23" t="s">
        <v>114</v>
      </c>
      <c r="E18" s="21" t="s">
        <v>114</v>
      </c>
      <c r="F18" s="21" t="s">
        <v>186</v>
      </c>
      <c r="G18" s="6"/>
      <c r="H18" s="24"/>
      <c r="I18" s="25" t="s">
        <v>192</v>
      </c>
      <c r="J18" s="26" t="s">
        <v>1152</v>
      </c>
      <c r="K18" s="26" t="s">
        <v>194</v>
      </c>
      <c r="L18" s="26" t="s">
        <v>1072</v>
      </c>
      <c r="M18" s="26" t="s">
        <v>692</v>
      </c>
      <c r="N18" s="26" t="s">
        <v>204</v>
      </c>
      <c r="O18" s="26" t="s">
        <v>291</v>
      </c>
      <c r="P18" s="26" t="s">
        <v>633</v>
      </c>
      <c r="Q18" s="26" t="s">
        <v>634</v>
      </c>
      <c r="R18" s="26" t="s">
        <v>635</v>
      </c>
      <c r="S18" s="26"/>
      <c r="T18" s="26"/>
      <c r="U18" s="26"/>
      <c r="V18" s="26"/>
      <c r="W18" s="26"/>
      <c r="X18" s="55"/>
      <c r="Y18" s="52"/>
      <c r="Z18" s="26"/>
      <c r="AA18" s="26"/>
      <c r="AB18" s="26"/>
      <c r="AC18" s="26"/>
      <c r="AD18" s="26"/>
      <c r="AE18" s="26"/>
      <c r="AF18" s="55"/>
      <c r="AG18" s="52"/>
      <c r="AH18" s="26"/>
      <c r="AI18" s="26"/>
      <c r="AJ18" s="27"/>
      <c r="AK18" s="25"/>
      <c r="AL18" s="26"/>
      <c r="AM18" s="26"/>
      <c r="AN18" s="55"/>
      <c r="AO18" s="62"/>
      <c r="AP18" s="62"/>
      <c r="AQ18" s="67"/>
      <c r="AR18" s="62"/>
      <c r="AS18" s="161" t="s">
        <v>716</v>
      </c>
      <c r="AT18" s="533" t="s">
        <v>429</v>
      </c>
      <c r="AU18" s="161" t="s">
        <v>430</v>
      </c>
      <c r="AV18" s="533" t="s">
        <v>431</v>
      </c>
      <c r="AW18" s="161" t="s">
        <v>432</v>
      </c>
      <c r="AX18" s="533" t="s">
        <v>433</v>
      </c>
      <c r="AY18" s="138" t="str">
        <f t="shared" ref="AY18:BB22" si="13">IF(ISNUMBER(S18),S18," - ")</f>
        <v xml:space="preserve"> - </v>
      </c>
      <c r="AZ18" s="139" t="str">
        <f t="shared" si="13"/>
        <v xml:space="preserve"> - </v>
      </c>
      <c r="BA18" s="139" t="str">
        <f t="shared" si="13"/>
        <v xml:space="preserve"> - </v>
      </c>
      <c r="BB18" s="139" t="str">
        <f t="shared" si="13"/>
        <v xml:space="preserve"> - </v>
      </c>
      <c r="BC18" s="135" t="str">
        <f t="shared" si="8"/>
        <v xml:space="preserve"> - </v>
      </c>
      <c r="BD18" s="107" t="str">
        <f t="shared" si="9"/>
        <v xml:space="preserve"> - </v>
      </c>
      <c r="BE18" s="108" t="str">
        <f t="shared" si="10"/>
        <v xml:space="preserve"> - </v>
      </c>
      <c r="BF18" s="108" t="str">
        <f t="shared" si="11"/>
        <v xml:space="preserve"> - </v>
      </c>
      <c r="BG18" s="109" t="str">
        <f t="shared" si="12"/>
        <v xml:space="preserve"> - </v>
      </c>
      <c r="BH18" s="62"/>
      <c r="BI18" s="62"/>
      <c r="BJ18" s="161"/>
      <c r="BK18" s="67"/>
      <c r="BL18" s="67"/>
      <c r="BM18" s="167">
        <v>1800</v>
      </c>
      <c r="BN18" s="167"/>
      <c r="BO18" s="167"/>
      <c r="BP18" s="167"/>
      <c r="BQ18" s="167"/>
      <c r="BR18" s="167"/>
      <c r="BS18" s="167"/>
      <c r="BT18" s="167"/>
      <c r="BU18" s="167"/>
      <c r="BV18" s="167" t="s">
        <v>398</v>
      </c>
      <c r="BW18" s="167" t="s">
        <v>405</v>
      </c>
      <c r="BX18" s="167" t="s">
        <v>406</v>
      </c>
      <c r="BY18" s="186" t="s">
        <v>947</v>
      </c>
      <c r="BZ18" s="187" t="s">
        <v>1002</v>
      </c>
      <c r="CA18" s="167"/>
      <c r="CB18" s="167"/>
      <c r="CC18" s="167"/>
      <c r="CD18" s="167"/>
      <c r="CE18" s="167"/>
      <c r="CF18" s="167"/>
      <c r="CG18" s="167"/>
      <c r="CH18" s="167"/>
      <c r="CI18" s="167" t="s">
        <v>684</v>
      </c>
      <c r="CJ18" s="167" t="s">
        <v>388</v>
      </c>
      <c r="CK18" s="167" t="s">
        <v>618</v>
      </c>
      <c r="CL18" s="167" t="s">
        <v>619</v>
      </c>
      <c r="CM18" s="167" t="s">
        <v>619</v>
      </c>
      <c r="CN18" s="167">
        <v>1175</v>
      </c>
      <c r="CO18" s="167">
        <v>1800</v>
      </c>
      <c r="CP18" s="315" t="s">
        <v>542</v>
      </c>
      <c r="CQ18" s="167" t="s">
        <v>1001</v>
      </c>
      <c r="CR18" s="167"/>
      <c r="CS18" s="167" t="s">
        <v>833</v>
      </c>
      <c r="CT18" s="169"/>
      <c r="CU18" s="169"/>
      <c r="CV18" s="169" t="s">
        <v>409</v>
      </c>
      <c r="CW18" s="169" t="s">
        <v>449</v>
      </c>
      <c r="CX18" s="169" t="s">
        <v>452</v>
      </c>
      <c r="CY18" s="169"/>
      <c r="CZ18" s="169"/>
      <c r="DA18" s="169"/>
      <c r="DB18" s="355" t="s">
        <v>1059</v>
      </c>
      <c r="DC18" s="361"/>
      <c r="DD18" s="169"/>
      <c r="DE18" s="362" t="s">
        <v>702</v>
      </c>
      <c r="DF18" s="362" t="s">
        <v>193</v>
      </c>
      <c r="DG18" s="534"/>
      <c r="DH18" s="167" t="s">
        <v>560</v>
      </c>
      <c r="DI18" s="167" t="s">
        <v>558</v>
      </c>
      <c r="DJ18" s="167" t="s">
        <v>559</v>
      </c>
      <c r="DK18" s="167"/>
      <c r="DL18" s="167"/>
      <c r="DM18" s="168"/>
      <c r="DN18" s="168"/>
      <c r="DO18" s="168"/>
      <c r="DP18" s="168"/>
      <c r="DQ18" s="168"/>
      <c r="DR18" s="168"/>
      <c r="DS18" s="168"/>
      <c r="DT18" s="168"/>
      <c r="DU18" s="168" t="s">
        <v>815</v>
      </c>
      <c r="DV18" s="168"/>
      <c r="DW18" s="168"/>
      <c r="DX18" s="168"/>
      <c r="DY18" s="168"/>
      <c r="DZ18" s="168"/>
      <c r="EA18" s="168"/>
      <c r="EB18" s="168" t="s">
        <v>826</v>
      </c>
      <c r="EC18" s="168" t="s">
        <v>829</v>
      </c>
      <c r="ED18" s="168"/>
      <c r="EE18" s="168">
        <v>1200</v>
      </c>
      <c r="EF18" s="168">
        <v>600</v>
      </c>
      <c r="EG18" s="168"/>
      <c r="EH18" s="168"/>
      <c r="EI18" s="168" t="s">
        <v>831</v>
      </c>
      <c r="EJ18" s="168"/>
      <c r="EK18" s="168"/>
      <c r="EL18" s="168"/>
      <c r="EM18" s="168"/>
      <c r="EN18" s="168"/>
      <c r="EO18" s="355" t="s">
        <v>1059</v>
      </c>
      <c r="EP18" s="355" t="s">
        <v>194</v>
      </c>
      <c r="EQ18" s="355" t="s">
        <v>1072</v>
      </c>
      <c r="ER18" s="1342">
        <v>1600</v>
      </c>
      <c r="ES18" s="381"/>
      <c r="ET18" s="1523"/>
      <c r="EU18" s="1523"/>
    </row>
    <row r="19" spans="1:151" ht="14.25" customHeight="1">
      <c r="A19" s="7" t="s">
        <v>527</v>
      </c>
      <c r="B19" s="21" t="s">
        <v>523</v>
      </c>
      <c r="C19" s="22" t="s">
        <v>8</v>
      </c>
      <c r="D19" s="23" t="s">
        <v>28</v>
      </c>
      <c r="E19" s="21" t="s">
        <v>28</v>
      </c>
      <c r="F19" s="21">
        <v>26</v>
      </c>
      <c r="G19" s="6"/>
      <c r="H19" s="24"/>
      <c r="I19" s="25" t="s">
        <v>67</v>
      </c>
      <c r="J19" s="26" t="s">
        <v>462</v>
      </c>
      <c r="K19" s="26" t="s">
        <v>1141</v>
      </c>
      <c r="L19" s="26" t="s">
        <v>135</v>
      </c>
      <c r="M19" s="26" t="s">
        <v>139</v>
      </c>
      <c r="N19" s="26" t="s">
        <v>213</v>
      </c>
      <c r="O19" s="26" t="s">
        <v>296</v>
      </c>
      <c r="P19" s="26" t="s">
        <v>198</v>
      </c>
      <c r="Q19" s="26" t="s">
        <v>202</v>
      </c>
      <c r="R19" s="26" t="s">
        <v>210</v>
      </c>
      <c r="S19" s="26"/>
      <c r="T19" s="26"/>
      <c r="U19" s="26"/>
      <c r="V19" s="26"/>
      <c r="W19" s="26"/>
      <c r="X19" s="55"/>
      <c r="Y19" s="52"/>
      <c r="Z19" s="26"/>
      <c r="AA19" s="26"/>
      <c r="AB19" s="26"/>
      <c r="AC19" s="26"/>
      <c r="AD19" s="26"/>
      <c r="AE19" s="26"/>
      <c r="AF19" s="55"/>
      <c r="AG19" s="52"/>
      <c r="AH19" s="26"/>
      <c r="AI19" s="26"/>
      <c r="AJ19" s="27"/>
      <c r="AK19" s="25"/>
      <c r="AL19" s="26"/>
      <c r="AM19" s="26"/>
      <c r="AN19" s="55"/>
      <c r="AO19" s="62"/>
      <c r="AP19" s="62"/>
      <c r="AQ19" s="62"/>
      <c r="AR19" s="62"/>
      <c r="AS19" s="52" t="s">
        <v>60</v>
      </c>
      <c r="AT19" s="27"/>
      <c r="AU19" s="52" t="s">
        <v>134</v>
      </c>
      <c r="AV19" s="27"/>
      <c r="AW19" s="52" t="s">
        <v>135</v>
      </c>
      <c r="AX19" s="27"/>
      <c r="AY19" s="138" t="str">
        <f t="shared" si="13"/>
        <v xml:space="preserve"> - </v>
      </c>
      <c r="AZ19" s="139" t="str">
        <f t="shared" si="13"/>
        <v xml:space="preserve"> - </v>
      </c>
      <c r="BA19" s="139" t="str">
        <f t="shared" si="13"/>
        <v xml:space="preserve"> - </v>
      </c>
      <c r="BB19" s="139" t="str">
        <f t="shared" si="13"/>
        <v xml:space="preserve"> - </v>
      </c>
      <c r="BC19" s="135" t="str">
        <f t="shared" si="8"/>
        <v xml:space="preserve"> - </v>
      </c>
      <c r="BD19" s="107" t="str">
        <f t="shared" si="9"/>
        <v xml:space="preserve"> - </v>
      </c>
      <c r="BE19" s="108" t="str">
        <f t="shared" si="10"/>
        <v xml:space="preserve"> - </v>
      </c>
      <c r="BF19" s="108" t="str">
        <f t="shared" si="11"/>
        <v xml:space="preserve"> - </v>
      </c>
      <c r="BG19" s="109" t="str">
        <f t="shared" si="12"/>
        <v xml:space="preserve"> - </v>
      </c>
      <c r="BH19" s="62"/>
      <c r="BI19" s="62"/>
      <c r="BJ19" s="52"/>
      <c r="BK19" s="62"/>
      <c r="BL19" s="62"/>
      <c r="BM19" s="170">
        <v>700</v>
      </c>
      <c r="BN19" s="170"/>
      <c r="BO19" s="170"/>
      <c r="BP19" s="168"/>
      <c r="BQ19" s="168"/>
      <c r="BR19" s="168"/>
      <c r="BS19" s="168"/>
      <c r="BT19" s="170"/>
      <c r="BU19" s="170"/>
      <c r="BV19" s="170" t="s">
        <v>400</v>
      </c>
      <c r="BW19" s="170"/>
      <c r="BX19" s="170"/>
      <c r="BY19" s="170" t="s">
        <v>696</v>
      </c>
      <c r="BZ19" s="170"/>
      <c r="CA19" s="170"/>
      <c r="CB19" s="170"/>
      <c r="CC19" s="170"/>
      <c r="CD19" s="170"/>
      <c r="CE19" s="170"/>
      <c r="CF19" s="170"/>
      <c r="CG19" s="170"/>
      <c r="CH19" s="170"/>
      <c r="CI19" s="170" t="s">
        <v>673</v>
      </c>
      <c r="CJ19" s="170" t="s">
        <v>384</v>
      </c>
      <c r="CK19" s="170" t="s">
        <v>620</v>
      </c>
      <c r="CL19" s="170" t="s">
        <v>621</v>
      </c>
      <c r="CM19" s="170" t="s">
        <v>622</v>
      </c>
      <c r="CN19" s="170">
        <v>1262</v>
      </c>
      <c r="CO19" s="170">
        <v>700</v>
      </c>
      <c r="CP19" s="170">
        <v>1262</v>
      </c>
      <c r="CQ19" s="170" t="s">
        <v>1005</v>
      </c>
      <c r="CR19" s="170"/>
      <c r="CS19" s="170"/>
      <c r="CT19" s="169"/>
      <c r="CU19" s="169"/>
      <c r="CV19" s="169" t="s">
        <v>411</v>
      </c>
      <c r="CW19" s="169" t="s">
        <v>445</v>
      </c>
      <c r="CX19" s="169" t="s">
        <v>456</v>
      </c>
      <c r="CY19" s="169" t="s">
        <v>582</v>
      </c>
      <c r="CZ19" s="169" t="s">
        <v>583</v>
      </c>
      <c r="DA19" s="169" t="s">
        <v>584</v>
      </c>
      <c r="DB19" s="160" t="s">
        <v>60</v>
      </c>
      <c r="DC19" s="356"/>
      <c r="DD19" s="169"/>
      <c r="DE19" s="362" t="s">
        <v>319</v>
      </c>
      <c r="DF19" s="362" t="s">
        <v>834</v>
      </c>
      <c r="DG19" s="534" t="s">
        <v>593</v>
      </c>
      <c r="DH19" s="170" t="s">
        <v>564</v>
      </c>
      <c r="DI19" s="170" t="s">
        <v>565</v>
      </c>
      <c r="DJ19" s="170" t="s">
        <v>566</v>
      </c>
      <c r="DK19" s="170"/>
      <c r="DL19" s="170"/>
      <c r="DM19" s="168"/>
      <c r="DN19" s="168"/>
      <c r="DO19" s="168"/>
      <c r="DP19" s="168"/>
      <c r="DQ19" s="168"/>
      <c r="DR19" s="168"/>
      <c r="DS19" s="168"/>
      <c r="DT19" s="168"/>
      <c r="DU19" s="168" t="s">
        <v>816</v>
      </c>
      <c r="DV19" s="168"/>
      <c r="DW19" s="168"/>
      <c r="DX19" s="168"/>
      <c r="DY19" s="168"/>
      <c r="DZ19" s="168"/>
      <c r="EA19" s="168"/>
      <c r="EB19" s="168"/>
      <c r="EC19" s="168"/>
      <c r="ED19" s="168"/>
      <c r="EE19" s="168"/>
      <c r="EF19" s="168"/>
      <c r="EG19" s="168"/>
      <c r="EH19" s="168"/>
      <c r="EI19" s="168"/>
      <c r="EJ19" s="168"/>
      <c r="EK19" s="168"/>
      <c r="EL19" s="168"/>
      <c r="EM19" s="168"/>
      <c r="EN19" s="168"/>
      <c r="EO19" s="1322" t="s">
        <v>1031</v>
      </c>
      <c r="EP19" s="1322" t="s">
        <v>1032</v>
      </c>
      <c r="EQ19" s="1322" t="s">
        <v>1033</v>
      </c>
      <c r="ER19" s="1343">
        <v>875</v>
      </c>
      <c r="ES19" s="1337"/>
      <c r="ET19" s="1523"/>
      <c r="EU19" s="1523"/>
    </row>
    <row r="20" spans="1:151" ht="14.25" customHeight="1">
      <c r="A20" s="7" t="s">
        <v>528</v>
      </c>
      <c r="B20" s="21" t="s">
        <v>523</v>
      </c>
      <c r="C20" s="22" t="s">
        <v>8</v>
      </c>
      <c r="D20" s="23" t="s">
        <v>29</v>
      </c>
      <c r="E20" s="21" t="s">
        <v>29</v>
      </c>
      <c r="F20" s="21">
        <v>25</v>
      </c>
      <c r="G20" s="6"/>
      <c r="H20" s="24"/>
      <c r="I20" s="25" t="s">
        <v>68</v>
      </c>
      <c r="J20" s="26" t="s">
        <v>69</v>
      </c>
      <c r="K20" s="26" t="s">
        <v>117</v>
      </c>
      <c r="L20" s="26" t="s">
        <v>70</v>
      </c>
      <c r="M20" s="26" t="s">
        <v>121</v>
      </c>
      <c r="N20" s="26" t="s">
        <v>630</v>
      </c>
      <c r="O20" s="26" t="s">
        <v>631</v>
      </c>
      <c r="P20" s="26" t="s">
        <v>121</v>
      </c>
      <c r="Q20" s="26" t="s">
        <v>121</v>
      </c>
      <c r="R20" s="26" t="s">
        <v>121</v>
      </c>
      <c r="S20" s="26"/>
      <c r="T20" s="26"/>
      <c r="U20" s="26"/>
      <c r="V20" s="26"/>
      <c r="W20" s="26"/>
      <c r="X20" s="55"/>
      <c r="Y20" s="52"/>
      <c r="Z20" s="26"/>
      <c r="AA20" s="26"/>
      <c r="AB20" s="26"/>
      <c r="AC20" s="26"/>
      <c r="AD20" s="26"/>
      <c r="AE20" s="26"/>
      <c r="AF20" s="55"/>
      <c r="AG20" s="52"/>
      <c r="AH20" s="26"/>
      <c r="AI20" s="26"/>
      <c r="AJ20" s="27"/>
      <c r="AK20" s="25"/>
      <c r="AL20" s="26"/>
      <c r="AM20" s="26"/>
      <c r="AN20" s="55"/>
      <c r="AO20" s="62"/>
      <c r="AP20" s="62"/>
      <c r="AQ20" s="62"/>
      <c r="AR20" s="62"/>
      <c r="AS20" s="52" t="s">
        <v>548</v>
      </c>
      <c r="AT20" s="27"/>
      <c r="AU20" s="52"/>
      <c r="AV20" s="27"/>
      <c r="AW20" s="52"/>
      <c r="AX20" s="27"/>
      <c r="AY20" s="138" t="str">
        <f t="shared" si="13"/>
        <v xml:space="preserve"> - </v>
      </c>
      <c r="AZ20" s="139" t="str">
        <f t="shared" si="13"/>
        <v xml:space="preserve"> - </v>
      </c>
      <c r="BA20" s="139" t="str">
        <f t="shared" si="13"/>
        <v xml:space="preserve"> - </v>
      </c>
      <c r="BB20" s="139" t="str">
        <f t="shared" si="13"/>
        <v xml:space="preserve"> - </v>
      </c>
      <c r="BC20" s="135" t="str">
        <f t="shared" si="8"/>
        <v xml:space="preserve"> - </v>
      </c>
      <c r="BD20" s="107" t="str">
        <f t="shared" si="9"/>
        <v xml:space="preserve"> - </v>
      </c>
      <c r="BE20" s="108" t="str">
        <f t="shared" si="10"/>
        <v xml:space="preserve"> - </v>
      </c>
      <c r="BF20" s="108" t="str">
        <f t="shared" si="11"/>
        <v xml:space="preserve"> - </v>
      </c>
      <c r="BG20" s="109" t="str">
        <f t="shared" si="12"/>
        <v xml:space="preserve"> - </v>
      </c>
      <c r="BH20" s="62"/>
      <c r="BI20" s="62"/>
      <c r="BJ20" s="52"/>
      <c r="BK20" s="62"/>
      <c r="BL20" s="62"/>
      <c r="BM20" s="170">
        <v>1000</v>
      </c>
      <c r="BN20" s="168"/>
      <c r="BO20" s="168"/>
      <c r="BP20" s="168"/>
      <c r="BQ20" s="168"/>
      <c r="BR20" s="168"/>
      <c r="BS20" s="168"/>
      <c r="BT20" s="168"/>
      <c r="BU20" s="168"/>
      <c r="BV20" s="170"/>
      <c r="BW20" s="170"/>
      <c r="BX20" s="170"/>
      <c r="BY20" s="170" t="s">
        <v>711</v>
      </c>
      <c r="BZ20" s="170" t="s">
        <v>468</v>
      </c>
      <c r="CA20" s="170"/>
      <c r="CB20" s="170"/>
      <c r="CC20" s="170"/>
      <c r="CD20" s="170"/>
      <c r="CE20" s="170"/>
      <c r="CF20" s="170"/>
      <c r="CG20" s="170"/>
      <c r="CH20" s="170"/>
      <c r="CI20" s="170"/>
      <c r="CJ20" s="170"/>
      <c r="CK20" s="170"/>
      <c r="CL20" s="170"/>
      <c r="CM20" s="170"/>
      <c r="CN20" s="170">
        <v>1148</v>
      </c>
      <c r="CO20" s="170">
        <v>1000</v>
      </c>
      <c r="CP20" s="170">
        <v>1148</v>
      </c>
      <c r="CQ20" s="170" t="s">
        <v>1004</v>
      </c>
      <c r="CR20" s="170" t="s">
        <v>468</v>
      </c>
      <c r="CS20" s="170"/>
      <c r="CT20" s="169"/>
      <c r="CU20" s="169"/>
      <c r="CV20" s="169"/>
      <c r="CW20" s="169" t="s">
        <v>446</v>
      </c>
      <c r="CX20" s="169"/>
      <c r="CY20" s="169"/>
      <c r="CZ20" s="169"/>
      <c r="DA20" s="169"/>
      <c r="DB20" s="196" t="s">
        <v>69</v>
      </c>
      <c r="DC20" s="356"/>
      <c r="DD20" s="169"/>
      <c r="DE20" s="169"/>
      <c r="DF20" s="169"/>
      <c r="DG20" s="534"/>
      <c r="DH20" s="170"/>
      <c r="DI20" s="170"/>
      <c r="DJ20" s="170"/>
      <c r="DK20" s="170"/>
      <c r="DL20" s="170"/>
      <c r="DM20" s="168"/>
      <c r="DN20" s="168"/>
      <c r="DO20" s="168"/>
      <c r="DP20" s="168"/>
      <c r="DQ20" s="168"/>
      <c r="DR20" s="168"/>
      <c r="DS20" s="168"/>
      <c r="DT20" s="168"/>
      <c r="DU20" s="168" t="s">
        <v>817</v>
      </c>
      <c r="DV20" s="168"/>
      <c r="DW20" s="168"/>
      <c r="DX20" s="168"/>
      <c r="DY20" s="168"/>
      <c r="DZ20" s="168"/>
      <c r="EA20" s="168"/>
      <c r="EC20" s="168"/>
      <c r="ED20" s="168"/>
      <c r="EE20" s="168"/>
      <c r="EF20" s="168"/>
      <c r="EG20" s="168"/>
      <c r="EH20" s="168"/>
      <c r="EI20" s="168"/>
      <c r="EJ20" s="168"/>
      <c r="EK20" s="168"/>
      <c r="EL20" s="168"/>
      <c r="EM20" s="168"/>
      <c r="EN20" s="168"/>
      <c r="EO20" s="196" t="s">
        <v>69</v>
      </c>
      <c r="EP20" s="196" t="s">
        <v>117</v>
      </c>
      <c r="EQ20" s="196" t="s">
        <v>70</v>
      </c>
      <c r="ER20" s="1326">
        <v>5240</v>
      </c>
      <c r="ES20" s="538"/>
      <c r="ET20" s="1523"/>
      <c r="EU20" s="1523"/>
    </row>
    <row r="21" spans="1:151" ht="14.25" customHeight="1">
      <c r="A21" s="7" t="s">
        <v>529</v>
      </c>
      <c r="B21" s="21" t="s">
        <v>523</v>
      </c>
      <c r="C21" s="22" t="s">
        <v>8</v>
      </c>
      <c r="D21" s="23" t="s">
        <v>30</v>
      </c>
      <c r="E21" s="21" t="s">
        <v>30</v>
      </c>
      <c r="F21" s="21">
        <v>22</v>
      </c>
      <c r="G21" s="6"/>
      <c r="H21" s="28" t="s">
        <v>53</v>
      </c>
      <c r="I21" s="25" t="s">
        <v>956</v>
      </c>
      <c r="J21" s="26" t="s">
        <v>957</v>
      </c>
      <c r="K21" s="26" t="s">
        <v>958</v>
      </c>
      <c r="L21" s="26" t="s">
        <v>959</v>
      </c>
      <c r="M21" s="26" t="s">
        <v>960</v>
      </c>
      <c r="N21" s="26" t="s">
        <v>961</v>
      </c>
      <c r="O21" s="26" t="s">
        <v>962</v>
      </c>
      <c r="P21" s="26" t="s">
        <v>963</v>
      </c>
      <c r="Q21" s="26" t="s">
        <v>964</v>
      </c>
      <c r="R21" s="26" t="s">
        <v>965</v>
      </c>
      <c r="S21" s="26"/>
      <c r="T21" s="26"/>
      <c r="U21" s="26"/>
      <c r="V21" s="26"/>
      <c r="W21" s="26"/>
      <c r="X21" s="55"/>
      <c r="Y21" s="52"/>
      <c r="Z21" s="26"/>
      <c r="AA21" s="26"/>
      <c r="AB21" s="26"/>
      <c r="AC21" s="26"/>
      <c r="AD21" s="26"/>
      <c r="AE21" s="26"/>
      <c r="AF21" s="55"/>
      <c r="AG21" s="52"/>
      <c r="AH21" s="26"/>
      <c r="AI21" s="26"/>
      <c r="AJ21" s="27"/>
      <c r="AK21" s="25"/>
      <c r="AL21" s="26"/>
      <c r="AM21" s="26"/>
      <c r="AN21" s="55"/>
      <c r="AO21" s="62"/>
      <c r="AP21" s="62"/>
      <c r="AQ21" s="62"/>
      <c r="AR21" s="62"/>
      <c r="AS21" s="52" t="s">
        <v>968</v>
      </c>
      <c r="AT21" s="27"/>
      <c r="AU21" s="52" t="s">
        <v>966</v>
      </c>
      <c r="AV21" s="27"/>
      <c r="AW21" s="52" t="s">
        <v>967</v>
      </c>
      <c r="AX21" s="27"/>
      <c r="AY21" s="138" t="str">
        <f t="shared" si="13"/>
        <v xml:space="preserve"> - </v>
      </c>
      <c r="AZ21" s="139" t="str">
        <f t="shared" si="13"/>
        <v xml:space="preserve"> - </v>
      </c>
      <c r="BA21" s="139" t="str">
        <f t="shared" si="13"/>
        <v xml:space="preserve"> - </v>
      </c>
      <c r="BB21" s="139" t="str">
        <f t="shared" si="13"/>
        <v xml:space="preserve"> - </v>
      </c>
      <c r="BC21" s="135" t="str">
        <f t="shared" si="8"/>
        <v xml:space="preserve"> - </v>
      </c>
      <c r="BD21" s="107" t="str">
        <f t="shared" si="9"/>
        <v xml:space="preserve"> - </v>
      </c>
      <c r="BE21" s="108" t="str">
        <f t="shared" si="10"/>
        <v xml:space="preserve"> - </v>
      </c>
      <c r="BF21" s="108" t="str">
        <f t="shared" si="11"/>
        <v xml:space="preserve"> - </v>
      </c>
      <c r="BG21" s="109" t="str">
        <f t="shared" si="12"/>
        <v xml:space="preserve"> - </v>
      </c>
      <c r="BH21" s="62"/>
      <c r="BI21" s="62"/>
      <c r="BJ21" s="52"/>
      <c r="BK21" s="62"/>
      <c r="BL21" s="62"/>
      <c r="BM21" s="170">
        <v>450</v>
      </c>
      <c r="BN21" s="186"/>
      <c r="BO21" s="186"/>
      <c r="BP21" s="170"/>
      <c r="BQ21" s="170"/>
      <c r="BR21" s="170"/>
      <c r="BS21" s="170"/>
      <c r="BT21" s="186"/>
      <c r="BU21" s="186"/>
      <c r="BV21" s="170" t="s">
        <v>969</v>
      </c>
      <c r="BW21" s="170" t="s">
        <v>403</v>
      </c>
      <c r="BX21" s="170" t="s">
        <v>404</v>
      </c>
      <c r="BY21" s="186" t="s">
        <v>1000</v>
      </c>
      <c r="BZ21" s="186"/>
      <c r="CA21" s="170"/>
      <c r="CB21" s="170"/>
      <c r="CC21" s="170"/>
      <c r="CD21" s="170"/>
      <c r="CE21" s="170"/>
      <c r="CF21" s="170"/>
      <c r="CG21" s="170"/>
      <c r="CH21" s="170"/>
      <c r="CI21" s="170" t="s">
        <v>970</v>
      </c>
      <c r="CJ21" s="170" t="s">
        <v>971</v>
      </c>
      <c r="CK21" s="170" t="s">
        <v>972</v>
      </c>
      <c r="CL21" s="170" t="s">
        <v>973</v>
      </c>
      <c r="CM21" s="170" t="s">
        <v>974</v>
      </c>
      <c r="CN21" s="186" t="s">
        <v>419</v>
      </c>
      <c r="CO21" s="170">
        <v>450</v>
      </c>
      <c r="CP21" s="186" t="s">
        <v>419</v>
      </c>
      <c r="CQ21" s="186" t="s">
        <v>697</v>
      </c>
      <c r="CR21" s="186"/>
      <c r="CS21" s="170"/>
      <c r="CT21" s="169"/>
      <c r="CU21" s="169"/>
      <c r="CV21" s="169" t="s">
        <v>413</v>
      </c>
      <c r="CW21" s="169" t="s">
        <v>447</v>
      </c>
      <c r="CX21" s="169" t="s">
        <v>455</v>
      </c>
      <c r="CY21" s="169"/>
      <c r="CZ21" s="169"/>
      <c r="DA21" s="169"/>
      <c r="DB21" s="160" t="s">
        <v>968</v>
      </c>
      <c r="DC21" s="363" t="s">
        <v>214</v>
      </c>
      <c r="DD21" s="169"/>
      <c r="DE21" s="362" t="s">
        <v>975</v>
      </c>
      <c r="DF21" s="362" t="s">
        <v>999</v>
      </c>
      <c r="DG21" s="534"/>
      <c r="DH21" s="170" t="s">
        <v>567</v>
      </c>
      <c r="DI21" s="170" t="s">
        <v>568</v>
      </c>
      <c r="DJ21" s="170" t="s">
        <v>569</v>
      </c>
      <c r="DK21" s="170"/>
      <c r="DL21" s="170"/>
      <c r="DM21" s="168"/>
      <c r="DN21" s="168"/>
      <c r="DO21" s="168"/>
      <c r="DP21" s="168"/>
      <c r="DQ21" s="168"/>
      <c r="DR21" s="168"/>
      <c r="DS21" s="168"/>
      <c r="DT21" s="168"/>
      <c r="DU21" s="168" t="s">
        <v>818</v>
      </c>
      <c r="DV21" s="168"/>
      <c r="DW21" s="168"/>
      <c r="DX21" s="168"/>
      <c r="DY21" s="168"/>
      <c r="DZ21" s="168"/>
      <c r="EA21" s="168"/>
      <c r="EB21" s="168"/>
      <c r="EC21" s="168"/>
      <c r="ED21" s="168" t="s">
        <v>71</v>
      </c>
      <c r="EE21" s="228"/>
      <c r="EF21" s="168">
        <v>600</v>
      </c>
      <c r="EG21" s="168">
        <v>400</v>
      </c>
      <c r="EH21" s="168">
        <v>450</v>
      </c>
      <c r="EI21" s="168"/>
      <c r="EJ21" s="168" t="s">
        <v>832</v>
      </c>
      <c r="EK21" s="168"/>
      <c r="EL21" s="168"/>
      <c r="EM21" s="168"/>
      <c r="EN21" s="168"/>
      <c r="EO21" s="377" t="s">
        <v>1043</v>
      </c>
      <c r="EP21" s="377" t="s">
        <v>1044</v>
      </c>
      <c r="EQ21" s="377" t="s">
        <v>1045</v>
      </c>
      <c r="ER21" s="1344" t="s">
        <v>1026</v>
      </c>
      <c r="ES21" s="382"/>
      <c r="ET21" s="1523"/>
      <c r="EU21" s="1523"/>
    </row>
    <row r="22" spans="1:151" ht="14.25" customHeight="1">
      <c r="A22" s="7" t="s">
        <v>530</v>
      </c>
      <c r="B22" s="21" t="s">
        <v>523</v>
      </c>
      <c r="C22" s="22" t="s">
        <v>8</v>
      </c>
      <c r="D22" s="23" t="s">
        <v>30</v>
      </c>
      <c r="E22" s="21">
        <v>10</v>
      </c>
      <c r="F22" s="21">
        <v>22</v>
      </c>
      <c r="G22" s="6"/>
      <c r="H22" s="28" t="s">
        <v>53</v>
      </c>
      <c r="I22" s="26" t="s">
        <v>121</v>
      </c>
      <c r="J22" s="26" t="s">
        <v>121</v>
      </c>
      <c r="K22" s="26" t="s">
        <v>121</v>
      </c>
      <c r="L22" s="26" t="s">
        <v>121</v>
      </c>
      <c r="M22" s="26" t="s">
        <v>121</v>
      </c>
      <c r="N22" s="196" t="s">
        <v>632</v>
      </c>
      <c r="O22" s="26" t="s">
        <v>304</v>
      </c>
      <c r="P22" s="26" t="s">
        <v>215</v>
      </c>
      <c r="Q22" s="26" t="s">
        <v>216</v>
      </c>
      <c r="R22" s="26" t="s">
        <v>217</v>
      </c>
      <c r="S22" s="26"/>
      <c r="T22" s="26"/>
      <c r="U22" s="26"/>
      <c r="V22" s="26"/>
      <c r="W22" s="26"/>
      <c r="X22" s="55"/>
      <c r="Y22" s="52"/>
      <c r="Z22" s="26"/>
      <c r="AA22" s="26"/>
      <c r="AB22" s="26"/>
      <c r="AC22" s="26"/>
      <c r="AD22" s="26"/>
      <c r="AE22" s="26"/>
      <c r="AF22" s="55"/>
      <c r="AG22" s="52"/>
      <c r="AH22" s="26"/>
      <c r="AI22" s="26"/>
      <c r="AJ22" s="27"/>
      <c r="AK22" s="25"/>
      <c r="AL22" s="26"/>
      <c r="AM22" s="26"/>
      <c r="AN22" s="55"/>
      <c r="AO22" s="62"/>
      <c r="AP22" s="62"/>
      <c r="AQ22" s="62"/>
      <c r="AR22" s="62"/>
      <c r="AS22" s="52" t="s">
        <v>215</v>
      </c>
      <c r="AT22" s="27"/>
      <c r="AU22" s="52" t="s">
        <v>216</v>
      </c>
      <c r="AV22" s="27"/>
      <c r="AW22" s="52" t="s">
        <v>217</v>
      </c>
      <c r="AX22" s="27"/>
      <c r="AY22" s="138" t="str">
        <f t="shared" si="13"/>
        <v xml:space="preserve"> - </v>
      </c>
      <c r="AZ22" s="139" t="str">
        <f t="shared" si="13"/>
        <v xml:space="preserve"> - </v>
      </c>
      <c r="BA22" s="139" t="str">
        <f t="shared" si="13"/>
        <v xml:space="preserve"> - </v>
      </c>
      <c r="BB22" s="139" t="str">
        <f t="shared" si="13"/>
        <v xml:space="preserve"> - </v>
      </c>
      <c r="BC22" s="135" t="str">
        <f t="shared" si="8"/>
        <v xml:space="preserve"> - </v>
      </c>
      <c r="BD22" s="107" t="str">
        <f t="shared" si="9"/>
        <v xml:space="preserve"> - </v>
      </c>
      <c r="BE22" s="108" t="str">
        <f t="shared" si="10"/>
        <v xml:space="preserve"> - </v>
      </c>
      <c r="BF22" s="108" t="str">
        <f t="shared" si="11"/>
        <v xml:space="preserve"> - </v>
      </c>
      <c r="BG22" s="109" t="str">
        <f t="shared" si="12"/>
        <v xml:space="preserve"> - </v>
      </c>
      <c r="BH22" s="62"/>
      <c r="BI22" s="62"/>
      <c r="BJ22" s="52"/>
      <c r="BK22" s="62"/>
      <c r="BL22" s="62"/>
      <c r="BM22" s="170">
        <v>2655</v>
      </c>
      <c r="BN22" s="170"/>
      <c r="BO22" s="170"/>
      <c r="BP22" s="170"/>
      <c r="BQ22" s="170"/>
      <c r="BR22" s="170"/>
      <c r="BS22" s="170"/>
      <c r="BT22" s="170"/>
      <c r="BU22" s="170"/>
      <c r="BV22" s="170"/>
      <c r="BW22" s="170"/>
      <c r="BX22" s="170"/>
      <c r="BY22" s="170" t="s">
        <v>407</v>
      </c>
      <c r="BZ22" s="170"/>
      <c r="CA22" s="170"/>
      <c r="CB22" s="170"/>
      <c r="CC22" s="170"/>
      <c r="CD22" s="170"/>
      <c r="CE22" s="170"/>
      <c r="CF22" s="170"/>
      <c r="CG22" s="170"/>
      <c r="CH22" s="170"/>
      <c r="CI22" s="170"/>
      <c r="CJ22" s="170"/>
      <c r="CK22" s="170"/>
      <c r="CL22" s="170"/>
      <c r="CM22" s="170"/>
      <c r="CN22" s="170">
        <v>1292</v>
      </c>
      <c r="CO22" s="170">
        <v>2655</v>
      </c>
      <c r="CP22" s="170">
        <v>1292</v>
      </c>
      <c r="CQ22" s="170" t="s">
        <v>894</v>
      </c>
      <c r="CR22" s="170"/>
      <c r="CS22" s="170"/>
      <c r="CT22" s="169"/>
      <c r="CU22" s="169"/>
      <c r="CV22" s="169"/>
      <c r="CW22" s="169"/>
      <c r="CX22" s="169"/>
      <c r="CY22" s="169"/>
      <c r="CZ22" s="169"/>
      <c r="DA22" s="169"/>
      <c r="DB22" s="160" t="s">
        <v>215</v>
      </c>
      <c r="DC22" s="356"/>
      <c r="DD22" s="169"/>
      <c r="DE22" s="362" t="s">
        <v>320</v>
      </c>
      <c r="DF22" s="362" t="s">
        <v>320</v>
      </c>
      <c r="DG22" s="534"/>
      <c r="DH22" s="170"/>
      <c r="DI22" s="170"/>
      <c r="DJ22" s="170"/>
      <c r="DK22" s="170"/>
      <c r="DL22" s="170"/>
      <c r="DM22" s="168"/>
      <c r="DN22" s="168"/>
      <c r="DO22" s="168"/>
      <c r="DP22" s="168"/>
      <c r="DQ22" s="168"/>
      <c r="DR22" s="168"/>
      <c r="DS22" s="168"/>
      <c r="DT22" s="168"/>
      <c r="DU22" s="168" t="s">
        <v>818</v>
      </c>
      <c r="DV22" s="168"/>
      <c r="DW22" s="168"/>
      <c r="DX22" s="168"/>
      <c r="DY22" s="168"/>
      <c r="DZ22" s="168"/>
      <c r="EA22" s="168"/>
      <c r="EB22" s="168"/>
      <c r="EC22" s="168"/>
      <c r="ED22" s="168"/>
      <c r="EE22" s="168"/>
      <c r="EF22" s="168"/>
      <c r="EG22" s="168"/>
      <c r="EH22" s="168"/>
      <c r="EI22" s="168"/>
      <c r="EJ22" s="794" t="s">
        <v>901</v>
      </c>
      <c r="EK22" s="168"/>
      <c r="EL22" s="168"/>
      <c r="EM22" s="168"/>
      <c r="EN22" s="168"/>
      <c r="EO22" s="160" t="s">
        <v>1034</v>
      </c>
      <c r="EP22" s="160" t="s">
        <v>1035</v>
      </c>
      <c r="EQ22" s="160" t="s">
        <v>1036</v>
      </c>
      <c r="ER22" s="1343">
        <v>2400</v>
      </c>
      <c r="ES22" s="382"/>
      <c r="ET22" s="1523"/>
      <c r="EU22" s="1523"/>
    </row>
    <row r="23" spans="1:151" ht="14.25" customHeight="1" thickBot="1">
      <c r="A23" s="77" t="s">
        <v>5</v>
      </c>
      <c r="B23" s="78" t="s">
        <v>523</v>
      </c>
      <c r="C23" s="79" t="s">
        <v>9</v>
      </c>
      <c r="D23" s="80"/>
      <c r="E23" s="81"/>
      <c r="F23" s="81"/>
      <c r="G23" s="82"/>
      <c r="H23" s="83"/>
      <c r="I23" s="113">
        <f t="shared" ref="I23:N23" si="14">SUBTOTAL(9,I16:I22)</f>
        <v>0</v>
      </c>
      <c r="J23" s="113">
        <f t="shared" si="14"/>
        <v>0</v>
      </c>
      <c r="K23" s="113">
        <f t="shared" si="14"/>
        <v>0</v>
      </c>
      <c r="L23" s="113">
        <f t="shared" si="14"/>
        <v>0</v>
      </c>
      <c r="M23" s="113">
        <f t="shared" si="14"/>
        <v>0</v>
      </c>
      <c r="N23" s="113">
        <f t="shared" si="14"/>
        <v>0</v>
      </c>
      <c r="O23" s="113"/>
      <c r="P23" s="113">
        <f t="shared" ref="P23:AO23" si="15">SUBTOTAL(9,P16:P22)</f>
        <v>0</v>
      </c>
      <c r="Q23" s="113">
        <f t="shared" si="15"/>
        <v>0</v>
      </c>
      <c r="R23" s="113">
        <f t="shared" si="15"/>
        <v>0</v>
      </c>
      <c r="S23" s="113">
        <f t="shared" si="15"/>
        <v>0</v>
      </c>
      <c r="T23" s="113">
        <f t="shared" si="15"/>
        <v>0</v>
      </c>
      <c r="U23" s="113">
        <f t="shared" si="15"/>
        <v>0</v>
      </c>
      <c r="V23" s="113">
        <f t="shared" si="15"/>
        <v>0</v>
      </c>
      <c r="W23" s="113">
        <f t="shared" si="15"/>
        <v>0</v>
      </c>
      <c r="X23" s="113">
        <f t="shared" si="15"/>
        <v>0</v>
      </c>
      <c r="Y23" s="114">
        <f t="shared" si="15"/>
        <v>0</v>
      </c>
      <c r="Z23" s="113">
        <f t="shared" si="15"/>
        <v>0</v>
      </c>
      <c r="AA23" s="113">
        <f t="shared" si="15"/>
        <v>0</v>
      </c>
      <c r="AB23" s="113">
        <f t="shared" si="15"/>
        <v>0</v>
      </c>
      <c r="AC23" s="113">
        <f t="shared" si="15"/>
        <v>0</v>
      </c>
      <c r="AD23" s="113">
        <f t="shared" si="15"/>
        <v>0</v>
      </c>
      <c r="AE23" s="113">
        <f t="shared" si="15"/>
        <v>0</v>
      </c>
      <c r="AF23" s="113">
        <f t="shared" si="15"/>
        <v>0</v>
      </c>
      <c r="AG23" s="114">
        <f t="shared" si="15"/>
        <v>0</v>
      </c>
      <c r="AH23" s="113">
        <f t="shared" si="15"/>
        <v>0</v>
      </c>
      <c r="AI23" s="113">
        <f t="shared" si="15"/>
        <v>0</v>
      </c>
      <c r="AJ23" s="115">
        <f t="shared" si="15"/>
        <v>0</v>
      </c>
      <c r="AK23" s="84">
        <f t="shared" si="15"/>
        <v>0</v>
      </c>
      <c r="AL23" s="113">
        <f t="shared" si="15"/>
        <v>0</v>
      </c>
      <c r="AM23" s="113">
        <f t="shared" si="15"/>
        <v>0</v>
      </c>
      <c r="AN23" s="117">
        <f t="shared" si="15"/>
        <v>0</v>
      </c>
      <c r="AO23" s="116">
        <f t="shared" si="15"/>
        <v>0</v>
      </c>
      <c r="AP23" s="153">
        <f>SUBTOTAL(9,AP16:AP22)-AP22</f>
        <v>0</v>
      </c>
      <c r="AQ23" s="116">
        <f>SUBTOTAL(9,AQ16:AQ22)</f>
        <v>0</v>
      </c>
      <c r="AR23" s="153">
        <f>SUBTOTAL(9,AR16:AR22)-AR22</f>
        <v>0</v>
      </c>
      <c r="AS23" s="153">
        <f t="shared" ref="AS23:BC23" si="16">SUBTOTAL(9,AS16:AS22)</f>
        <v>0</v>
      </c>
      <c r="AT23" s="153">
        <f t="shared" si="16"/>
        <v>0</v>
      </c>
      <c r="AU23" s="153">
        <f t="shared" si="16"/>
        <v>0</v>
      </c>
      <c r="AV23" s="153">
        <f t="shared" si="16"/>
        <v>0</v>
      </c>
      <c r="AW23" s="153">
        <f t="shared" si="16"/>
        <v>0</v>
      </c>
      <c r="AX23" s="153">
        <f t="shared" si="16"/>
        <v>0</v>
      </c>
      <c r="AY23" s="140">
        <f t="shared" si="16"/>
        <v>0</v>
      </c>
      <c r="AZ23" s="141">
        <f t="shared" si="16"/>
        <v>0</v>
      </c>
      <c r="BA23" s="141">
        <f t="shared" si="16"/>
        <v>0</v>
      </c>
      <c r="BB23" s="141">
        <f t="shared" si="16"/>
        <v>0</v>
      </c>
      <c r="BC23" s="142">
        <f t="shared" si="16"/>
        <v>0</v>
      </c>
      <c r="BD23" s="121" t="str">
        <f>IF(ISNUMBER(BA23/AZ23),BA23/AZ23," - ")</f>
        <v xml:space="preserve"> - </v>
      </c>
      <c r="BE23" s="122" t="str">
        <f>IF(ISNUMBER(BB23/BA23),BB23/BA23, " - ")</f>
        <v xml:space="preserve"> - </v>
      </c>
      <c r="BF23" s="122" t="str">
        <f>IF(ISNUMBER(BC23/BA23),BC23/BA23, " - ")</f>
        <v xml:space="preserve"> - </v>
      </c>
      <c r="BG23" s="123" t="str">
        <f>IF(ISNUMBER((AY23+AZ23)/BA23),(AY23+AZ23)/BA23," - ")</f>
        <v xml:space="preserve"> - </v>
      </c>
      <c r="BH23" s="153">
        <f>SUBTOTAL(9,BH16:BH22)-BH22</f>
        <v>0</v>
      </c>
      <c r="BI23" s="153">
        <f>SUBTOTAL(9,BI16:BI22)-BI22</f>
        <v>0</v>
      </c>
      <c r="BJ23" s="114"/>
      <c r="BK23" s="116">
        <f>SUBTOTAL(9,BK16:BK22)</f>
        <v>0</v>
      </c>
      <c r="BL23" s="116"/>
      <c r="BM23" s="164">
        <f>SUBTOTAL(9,BM16:BM22)</f>
        <v>15755</v>
      </c>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357"/>
      <c r="DC23" s="358"/>
      <c r="DD23" s="359"/>
      <c r="DE23" s="359"/>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357"/>
      <c r="EP23" s="357"/>
      <c r="EQ23" s="357"/>
      <c r="ER23" s="164">
        <f>AVERAGE(ER16:ER22)</f>
        <v>2223</v>
      </c>
      <c r="ES23" s="851"/>
      <c r="ET23" s="153"/>
      <c r="EU23" s="1525"/>
    </row>
    <row r="24" spans="1:151" ht="14.25" customHeight="1">
      <c r="A24" s="73" t="s">
        <v>0</v>
      </c>
      <c r="B24" s="85" t="s">
        <v>523</v>
      </c>
      <c r="C24" s="86" t="s">
        <v>7</v>
      </c>
      <c r="D24" s="92"/>
      <c r="E24" s="93"/>
      <c r="F24" s="93"/>
      <c r="G24" s="94"/>
      <c r="H24" s="95"/>
      <c r="I24" s="17"/>
      <c r="J24" s="18"/>
      <c r="K24" s="18"/>
      <c r="L24" s="18"/>
      <c r="M24" s="18"/>
      <c r="N24" s="18"/>
      <c r="O24" s="18"/>
      <c r="P24" s="18"/>
      <c r="Q24" s="18"/>
      <c r="R24" s="18"/>
      <c r="S24" s="18"/>
      <c r="T24" s="18"/>
      <c r="U24" s="18"/>
      <c r="V24" s="18"/>
      <c r="W24" s="18"/>
      <c r="X24" s="54"/>
      <c r="Y24" s="51"/>
      <c r="Z24" s="18"/>
      <c r="AA24" s="18"/>
      <c r="AB24" s="18"/>
      <c r="AC24" s="18"/>
      <c r="AD24" s="18"/>
      <c r="AE24" s="18"/>
      <c r="AF24" s="54"/>
      <c r="AG24" s="51"/>
      <c r="AH24" s="18"/>
      <c r="AI24" s="18"/>
      <c r="AJ24" s="19"/>
      <c r="AK24" s="17"/>
      <c r="AL24" s="18"/>
      <c r="AM24" s="18"/>
      <c r="AN24" s="54"/>
      <c r="AO24" s="63"/>
      <c r="AP24" s="63"/>
      <c r="AQ24" s="63"/>
      <c r="AR24" s="63"/>
      <c r="AS24" s="352"/>
      <c r="AT24" s="208"/>
      <c r="AU24" s="352"/>
      <c r="AV24" s="208"/>
      <c r="AW24" s="207"/>
      <c r="AX24" s="208"/>
      <c r="AY24" s="110"/>
      <c r="AZ24" s="111"/>
      <c r="BA24" s="111"/>
      <c r="BB24" s="111"/>
      <c r="BC24" s="112"/>
      <c r="BD24" s="110"/>
      <c r="BE24" s="111"/>
      <c r="BF24" s="111"/>
      <c r="BG24" s="112"/>
      <c r="BH24" s="63"/>
      <c r="BI24" s="63"/>
      <c r="BJ24" s="51"/>
      <c r="BK24" s="63"/>
      <c r="BL24" s="63"/>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352"/>
      <c r="DC24" s="353"/>
      <c r="DD24" s="360"/>
      <c r="DE24" s="360"/>
      <c r="DF24" s="165"/>
      <c r="DG24" s="165"/>
      <c r="DH24" s="165"/>
      <c r="DI24" s="165"/>
      <c r="DJ24" s="165"/>
      <c r="DK24" s="165"/>
      <c r="DL24" s="165"/>
      <c r="DM24" s="165"/>
      <c r="DN24" s="165"/>
      <c r="DO24" s="165"/>
      <c r="DP24" s="165"/>
      <c r="DQ24" s="165"/>
      <c r="DR24" s="165"/>
      <c r="DS24" s="165"/>
      <c r="DT24" s="165"/>
      <c r="DU24" s="165"/>
      <c r="DV24" s="165"/>
      <c r="DW24" s="165"/>
      <c r="DX24" s="165"/>
      <c r="DY24" s="165"/>
      <c r="DZ24" s="165"/>
      <c r="EA24" s="165"/>
      <c r="EB24" s="165"/>
      <c r="EC24" s="165"/>
      <c r="ED24" s="165"/>
      <c r="EE24" s="165"/>
      <c r="EF24" s="165"/>
      <c r="EG24" s="165"/>
      <c r="EH24" s="165"/>
      <c r="EI24" s="165"/>
      <c r="EJ24" s="165"/>
      <c r="EK24" s="165"/>
      <c r="EL24" s="165"/>
      <c r="EM24" s="165"/>
      <c r="EN24" s="165"/>
      <c r="EO24" s="352"/>
      <c r="EP24" s="352"/>
      <c r="EQ24" s="352"/>
      <c r="ER24" s="380"/>
      <c r="ES24" s="380"/>
      <c r="ET24" s="196"/>
      <c r="EU24" s="196"/>
    </row>
    <row r="25" spans="1:151" ht="14.25" customHeight="1">
      <c r="A25" s="7" t="s">
        <v>1</v>
      </c>
      <c r="B25" s="21" t="s">
        <v>523</v>
      </c>
      <c r="C25" s="22" t="s">
        <v>8</v>
      </c>
      <c r="D25" s="23">
        <v>30</v>
      </c>
      <c r="E25" s="21">
        <v>30</v>
      </c>
      <c r="F25" s="21">
        <v>23</v>
      </c>
      <c r="G25" s="6"/>
      <c r="H25" s="24"/>
      <c r="I25" s="25" t="s">
        <v>79</v>
      </c>
      <c r="J25" s="26" t="s">
        <v>209</v>
      </c>
      <c r="K25" s="26" t="s">
        <v>313</v>
      </c>
      <c r="L25" s="26" t="s">
        <v>81</v>
      </c>
      <c r="M25" s="26" t="s">
        <v>83</v>
      </c>
      <c r="N25" s="26" t="s">
        <v>717</v>
      </c>
      <c r="O25" s="26" t="s">
        <v>299</v>
      </c>
      <c r="P25" s="26" t="s">
        <v>63</v>
      </c>
      <c r="Q25" s="26" t="s">
        <v>64</v>
      </c>
      <c r="R25" s="26" t="s">
        <v>65</v>
      </c>
      <c r="S25" s="26"/>
      <c r="T25" s="26"/>
      <c r="U25" s="26"/>
      <c r="V25" s="26"/>
      <c r="W25" s="26"/>
      <c r="X25" s="55"/>
      <c r="Y25" s="52"/>
      <c r="Z25" s="26"/>
      <c r="AA25" s="26"/>
      <c r="AB25" s="26"/>
      <c r="AC25" s="26"/>
      <c r="AD25" s="26"/>
      <c r="AE25" s="26"/>
      <c r="AF25" s="55"/>
      <c r="AG25" s="52"/>
      <c r="AH25" s="26"/>
      <c r="AI25" s="26"/>
      <c r="AJ25" s="27"/>
      <c r="AK25" s="25"/>
      <c r="AL25" s="26"/>
      <c r="AM25" s="26"/>
      <c r="AN25" s="55"/>
      <c r="AO25" s="62"/>
      <c r="AP25" s="62"/>
      <c r="AQ25" s="62"/>
      <c r="AR25" s="62"/>
      <c r="AS25" s="52" t="s">
        <v>80</v>
      </c>
      <c r="AT25" s="27"/>
      <c r="AU25" s="52" t="s">
        <v>82</v>
      </c>
      <c r="AV25" s="27"/>
      <c r="AW25" s="52" t="s">
        <v>81</v>
      </c>
      <c r="AX25" s="27"/>
      <c r="AY25" s="138" t="str">
        <f t="shared" ref="AY25:BC25" si="17">IF(ISNUMBER(S25),S25," - ")</f>
        <v xml:space="preserve"> - </v>
      </c>
      <c r="AZ25" s="139" t="str">
        <f t="shared" si="17"/>
        <v xml:space="preserve"> - </v>
      </c>
      <c r="BA25" s="139" t="str">
        <f t="shared" si="17"/>
        <v xml:space="preserve"> - </v>
      </c>
      <c r="BB25" s="139" t="str">
        <f t="shared" si="17"/>
        <v xml:space="preserve"> - </v>
      </c>
      <c r="BC25" s="135" t="str">
        <f t="shared" si="17"/>
        <v xml:space="preserve"> - </v>
      </c>
      <c r="BD25" s="107" t="str">
        <f t="shared" ref="BD25:BD26" si="18">IF(ISNUMBER(BA25/AZ25),BA25/AZ25," - ")</f>
        <v xml:space="preserve"> - </v>
      </c>
      <c r="BE25" s="108" t="str">
        <f t="shared" ref="BE25:BE26" si="19">IF(ISNUMBER(BB25/BA25),BB25/BA25, " - ")</f>
        <v xml:space="preserve"> - </v>
      </c>
      <c r="BF25" s="108" t="str">
        <f t="shared" ref="BF25:BF26" si="20">IF(ISNUMBER(BC25/BA25),BC25/BA25, " - ")</f>
        <v xml:space="preserve"> - </v>
      </c>
      <c r="BG25" s="109" t="str">
        <f t="shared" ref="BG25:BG26" si="21">IF(ISNUMBER((AY25+AZ25)/BA25),(AY25+AZ25)/BA25," - ")</f>
        <v xml:space="preserve"> - </v>
      </c>
      <c r="BH25" s="62"/>
      <c r="BI25" s="62"/>
      <c r="BJ25" s="52"/>
      <c r="BK25" s="62"/>
      <c r="BL25" s="62"/>
      <c r="BM25" s="170">
        <v>600</v>
      </c>
      <c r="BN25" s="170"/>
      <c r="BO25" s="170"/>
      <c r="BP25" s="170"/>
      <c r="BQ25" s="170"/>
      <c r="BR25" s="170"/>
      <c r="BS25" s="170"/>
      <c r="BT25" s="170"/>
      <c r="BU25" s="170"/>
      <c r="BV25" s="170" t="s">
        <v>402</v>
      </c>
      <c r="BW25" s="170" t="s">
        <v>608</v>
      </c>
      <c r="BX25" s="170" t="s">
        <v>465</v>
      </c>
      <c r="BY25" s="170" t="s">
        <v>708</v>
      </c>
      <c r="BZ25" s="170"/>
      <c r="CA25" s="170"/>
      <c r="CB25" s="170"/>
      <c r="CC25" s="170"/>
      <c r="CD25" s="170"/>
      <c r="CE25" s="170"/>
      <c r="CF25" s="170"/>
      <c r="CG25" s="170"/>
      <c r="CH25" s="170"/>
      <c r="CI25" s="170" t="s">
        <v>682</v>
      </c>
      <c r="CJ25" s="170" t="s">
        <v>387</v>
      </c>
      <c r="CK25" s="170" t="s">
        <v>623</v>
      </c>
      <c r="CL25" s="170" t="s">
        <v>624</v>
      </c>
      <c r="CM25" s="170" t="s">
        <v>625</v>
      </c>
      <c r="CN25" s="170">
        <v>1262</v>
      </c>
      <c r="CO25" s="170">
        <v>600</v>
      </c>
      <c r="CP25" s="170">
        <v>1262</v>
      </c>
      <c r="CQ25" s="170" t="s">
        <v>709</v>
      </c>
      <c r="CR25" s="170"/>
      <c r="CS25" s="170"/>
      <c r="CT25" s="169"/>
      <c r="CU25" s="169"/>
      <c r="CV25" s="169" t="s">
        <v>414</v>
      </c>
      <c r="CW25" s="169" t="s">
        <v>448</v>
      </c>
      <c r="CX25" s="169" t="s">
        <v>454</v>
      </c>
      <c r="CY25" s="169" t="s">
        <v>585</v>
      </c>
      <c r="CZ25" s="169" t="s">
        <v>586</v>
      </c>
      <c r="DA25" s="169" t="s">
        <v>587</v>
      </c>
      <c r="DB25" s="160" t="s">
        <v>80</v>
      </c>
      <c r="DC25" s="356"/>
      <c r="DD25" s="169"/>
      <c r="DE25" s="364" t="s">
        <v>321</v>
      </c>
      <c r="DF25" s="350" t="s">
        <v>718</v>
      </c>
      <c r="DG25" s="534" t="s">
        <v>594</v>
      </c>
      <c r="DH25" s="170" t="s">
        <v>570</v>
      </c>
      <c r="DI25" s="170" t="s">
        <v>571</v>
      </c>
      <c r="DJ25" s="170" t="s">
        <v>572</v>
      </c>
      <c r="DK25" s="170"/>
      <c r="DL25" s="170"/>
      <c r="DM25" s="170" t="s">
        <v>749</v>
      </c>
      <c r="DN25" s="170" t="s">
        <v>750</v>
      </c>
      <c r="DO25" s="170" t="s">
        <v>751</v>
      </c>
      <c r="DP25" s="170"/>
      <c r="DQ25" s="170" t="s">
        <v>752</v>
      </c>
      <c r="DR25" s="170" t="s">
        <v>753</v>
      </c>
      <c r="DS25" s="170"/>
      <c r="DT25" s="170" t="s">
        <v>754</v>
      </c>
      <c r="DU25" s="170" t="s">
        <v>755</v>
      </c>
      <c r="DV25" s="170" t="s">
        <v>756</v>
      </c>
      <c r="DW25" s="170" t="s">
        <v>757</v>
      </c>
      <c r="DX25" s="170" t="s">
        <v>758</v>
      </c>
      <c r="DY25" s="170" t="s">
        <v>759</v>
      </c>
      <c r="DZ25" s="170" t="s">
        <v>760</v>
      </c>
      <c r="EA25" s="170" t="s">
        <v>761</v>
      </c>
      <c r="EB25" s="170"/>
      <c r="EC25" s="170"/>
      <c r="ED25" s="170"/>
      <c r="EE25" s="170"/>
      <c r="EF25" s="170"/>
      <c r="EG25" s="170"/>
      <c r="EH25" s="170"/>
      <c r="EI25" s="170"/>
      <c r="EJ25" s="170"/>
      <c r="EK25" s="170"/>
      <c r="EL25" s="170"/>
      <c r="EM25" s="170"/>
      <c r="EN25" s="170"/>
      <c r="EO25" s="160" t="s">
        <v>80</v>
      </c>
      <c r="EP25" s="160" t="s">
        <v>82</v>
      </c>
      <c r="EQ25" s="160" t="s">
        <v>81</v>
      </c>
      <c r="ER25" s="1343">
        <v>570</v>
      </c>
      <c r="ES25" s="382"/>
      <c r="ET25" s="1523"/>
      <c r="EU25" s="1523"/>
    </row>
    <row r="26" spans="1:151" ht="14.25" customHeight="1" thickBot="1">
      <c r="A26" s="77" t="s">
        <v>5</v>
      </c>
      <c r="B26" s="78" t="s">
        <v>523</v>
      </c>
      <c r="C26" s="79" t="s">
        <v>9</v>
      </c>
      <c r="D26" s="80"/>
      <c r="E26" s="81"/>
      <c r="F26" s="81"/>
      <c r="G26" s="82"/>
      <c r="H26" s="83"/>
      <c r="I26" s="113">
        <f t="shared" ref="I26:N26" si="22">SUBTOTAL(9,I25:I25)</f>
        <v>0</v>
      </c>
      <c r="J26" s="113">
        <f t="shared" si="22"/>
        <v>0</v>
      </c>
      <c r="K26" s="113">
        <f t="shared" si="22"/>
        <v>0</v>
      </c>
      <c r="L26" s="113">
        <f t="shared" si="22"/>
        <v>0</v>
      </c>
      <c r="M26" s="113">
        <f t="shared" si="22"/>
        <v>0</v>
      </c>
      <c r="N26" s="113">
        <f t="shared" si="22"/>
        <v>0</v>
      </c>
      <c r="O26" s="113"/>
      <c r="P26" s="113">
        <f t="shared" ref="P26:AR26" si="23">SUBTOTAL(9,P25:P25)</f>
        <v>0</v>
      </c>
      <c r="Q26" s="113">
        <f t="shared" si="23"/>
        <v>0</v>
      </c>
      <c r="R26" s="113">
        <f t="shared" si="23"/>
        <v>0</v>
      </c>
      <c r="S26" s="113">
        <f t="shared" si="23"/>
        <v>0</v>
      </c>
      <c r="T26" s="113">
        <f t="shared" si="23"/>
        <v>0</v>
      </c>
      <c r="U26" s="113">
        <f t="shared" si="23"/>
        <v>0</v>
      </c>
      <c r="V26" s="113">
        <f t="shared" si="23"/>
        <v>0</v>
      </c>
      <c r="W26" s="113">
        <f t="shared" si="23"/>
        <v>0</v>
      </c>
      <c r="X26" s="117">
        <f t="shared" si="23"/>
        <v>0</v>
      </c>
      <c r="Y26" s="114">
        <f t="shared" si="23"/>
        <v>0</v>
      </c>
      <c r="Z26" s="113">
        <f t="shared" si="23"/>
        <v>0</v>
      </c>
      <c r="AA26" s="113">
        <f t="shared" si="23"/>
        <v>0</v>
      </c>
      <c r="AB26" s="113">
        <f t="shared" si="23"/>
        <v>0</v>
      </c>
      <c r="AC26" s="113">
        <f t="shared" si="23"/>
        <v>0</v>
      </c>
      <c r="AD26" s="113">
        <f t="shared" si="23"/>
        <v>0</v>
      </c>
      <c r="AE26" s="113">
        <f t="shared" si="23"/>
        <v>0</v>
      </c>
      <c r="AF26" s="117">
        <f t="shared" si="23"/>
        <v>0</v>
      </c>
      <c r="AG26" s="114">
        <f t="shared" si="23"/>
        <v>0</v>
      </c>
      <c r="AH26" s="113">
        <f t="shared" si="23"/>
        <v>0</v>
      </c>
      <c r="AI26" s="113">
        <f t="shared" si="23"/>
        <v>0</v>
      </c>
      <c r="AJ26" s="115">
        <f t="shared" si="23"/>
        <v>0</v>
      </c>
      <c r="AK26" s="84">
        <f t="shared" si="23"/>
        <v>0</v>
      </c>
      <c r="AL26" s="113">
        <f t="shared" si="23"/>
        <v>0</v>
      </c>
      <c r="AM26" s="113">
        <f t="shared" si="23"/>
        <v>0</v>
      </c>
      <c r="AN26" s="117">
        <f t="shared" si="23"/>
        <v>0</v>
      </c>
      <c r="AO26" s="116">
        <f t="shared" si="23"/>
        <v>0</v>
      </c>
      <c r="AP26" s="116">
        <f t="shared" si="23"/>
        <v>0</v>
      </c>
      <c r="AQ26" s="116">
        <f t="shared" si="23"/>
        <v>0</v>
      </c>
      <c r="AR26" s="116">
        <f t="shared" si="23"/>
        <v>0</v>
      </c>
      <c r="AS26" s="357"/>
      <c r="AT26" s="142"/>
      <c r="AU26" s="357"/>
      <c r="AV26" s="142"/>
      <c r="AW26" s="217"/>
      <c r="AX26" s="142"/>
      <c r="AY26" s="140">
        <f>SUBTOTAL(9,AY25:AY25)</f>
        <v>0</v>
      </c>
      <c r="AZ26" s="141">
        <f>SUBTOTAL(9,AZ25:AZ25)</f>
        <v>0</v>
      </c>
      <c r="BA26" s="141">
        <f>SUBTOTAL(9,BA25:BA25)</f>
        <v>0</v>
      </c>
      <c r="BB26" s="141">
        <f>SUBTOTAL(9,BB25:BB25)</f>
        <v>0</v>
      </c>
      <c r="BC26" s="142">
        <f>SUBTOTAL(9,BC25:BC25)</f>
        <v>0</v>
      </c>
      <c r="BD26" s="121" t="str">
        <f t="shared" si="18"/>
        <v xml:space="preserve"> - </v>
      </c>
      <c r="BE26" s="122" t="str">
        <f t="shared" si="19"/>
        <v xml:space="preserve"> - </v>
      </c>
      <c r="BF26" s="122" t="str">
        <f t="shared" si="20"/>
        <v xml:space="preserve"> - </v>
      </c>
      <c r="BG26" s="123" t="str">
        <f t="shared" si="21"/>
        <v xml:space="preserve"> - </v>
      </c>
      <c r="BH26" s="116">
        <f>SUBTOTAL(9,BH25:BH25)</f>
        <v>0</v>
      </c>
      <c r="BI26" s="116">
        <f>SUBTOTAL(9,BI25:BI25)</f>
        <v>0</v>
      </c>
      <c r="BJ26" s="114"/>
      <c r="BK26" s="116">
        <f>SUBTOTAL(9,BK25:BK25)</f>
        <v>0</v>
      </c>
      <c r="BL26" s="116"/>
      <c r="BM26" s="164">
        <f>SUBTOTAL(9,BM25:BM25)</f>
        <v>600</v>
      </c>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357"/>
      <c r="EP26" s="357"/>
      <c r="EQ26" s="357"/>
      <c r="ER26" s="164">
        <f>AVERAGE(ER25:ER25)</f>
        <v>570</v>
      </c>
      <c r="ES26" s="164"/>
      <c r="ET26" s="153"/>
      <c r="EU26" s="1525"/>
    </row>
    <row r="27" spans="1:151" ht="14.25" customHeight="1">
      <c r="A27" s="73" t="s">
        <v>2</v>
      </c>
      <c r="B27" s="85" t="s">
        <v>523</v>
      </c>
      <c r="C27" s="86" t="s">
        <v>7</v>
      </c>
      <c r="D27" s="92"/>
      <c r="E27" s="93"/>
      <c r="F27" s="93"/>
      <c r="G27" s="94"/>
      <c r="H27" s="90"/>
      <c r="I27" s="17"/>
      <c r="J27" s="18"/>
      <c r="K27" s="18"/>
      <c r="L27" s="18"/>
      <c r="M27" s="18"/>
      <c r="N27" s="18"/>
      <c r="O27" s="18"/>
      <c r="P27" s="18"/>
      <c r="Q27" s="18"/>
      <c r="R27" s="18"/>
      <c r="S27" s="18"/>
      <c r="T27" s="18"/>
      <c r="U27" s="18"/>
      <c r="V27" s="18"/>
      <c r="W27" s="18"/>
      <c r="X27" s="54"/>
      <c r="Y27" s="51"/>
      <c r="Z27" s="18"/>
      <c r="AA27" s="18"/>
      <c r="AB27" s="18"/>
      <c r="AC27" s="18"/>
      <c r="AD27" s="18"/>
      <c r="AE27" s="18"/>
      <c r="AF27" s="54"/>
      <c r="AG27" s="51"/>
      <c r="AH27" s="18"/>
      <c r="AI27" s="18"/>
      <c r="AJ27" s="19"/>
      <c r="AK27" s="17"/>
      <c r="AL27" s="18"/>
      <c r="AM27" s="18"/>
      <c r="AN27" s="54"/>
      <c r="AO27" s="63"/>
      <c r="AP27" s="63"/>
      <c r="AQ27" s="63"/>
      <c r="AR27" s="63"/>
      <c r="AS27" s="352"/>
      <c r="AT27" s="208"/>
      <c r="AU27" s="352"/>
      <c r="AV27" s="208"/>
      <c r="AW27" s="207"/>
      <c r="AX27" s="208"/>
      <c r="AY27" s="110"/>
      <c r="AZ27" s="111"/>
      <c r="BA27" s="111"/>
      <c r="BB27" s="111"/>
      <c r="BC27" s="112"/>
      <c r="BD27" s="110"/>
      <c r="BE27" s="111"/>
      <c r="BF27" s="111"/>
      <c r="BG27" s="112"/>
      <c r="BH27" s="63"/>
      <c r="BI27" s="63"/>
      <c r="BJ27" s="51"/>
      <c r="BK27" s="63"/>
      <c r="BL27" s="63"/>
      <c r="BM27" s="165"/>
      <c r="BN27" s="165"/>
      <c r="BO27" s="165"/>
      <c r="BP27" s="165"/>
      <c r="BQ27" s="165"/>
      <c r="BR27" s="165"/>
      <c r="BS27" s="165"/>
      <c r="BT27" s="165"/>
      <c r="BU27" s="165"/>
      <c r="BV27" s="165"/>
      <c r="BW27" s="165"/>
      <c r="BX27" s="16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165"/>
      <c r="DV27" s="165"/>
      <c r="DW27" s="165"/>
      <c r="DX27" s="165"/>
      <c r="DY27" s="165"/>
      <c r="DZ27" s="165"/>
      <c r="EA27" s="165"/>
      <c r="EB27" s="165"/>
      <c r="EC27" s="165"/>
      <c r="ED27" s="165"/>
      <c r="EE27" s="165"/>
      <c r="EF27" s="165"/>
      <c r="EG27" s="165"/>
      <c r="EH27" s="165"/>
      <c r="EI27" s="165"/>
      <c r="EJ27" s="165"/>
      <c r="EK27" s="165"/>
      <c r="EL27" s="165"/>
      <c r="EM27" s="165"/>
      <c r="EN27" s="165"/>
      <c r="EO27" s="352"/>
      <c r="EP27" s="352"/>
      <c r="EQ27" s="352"/>
      <c r="ER27" s="380"/>
      <c r="ES27" s="380"/>
      <c r="ET27" s="196"/>
      <c r="EU27" s="196"/>
    </row>
    <row r="28" spans="1:151" ht="13.9" customHeight="1">
      <c r="A28" s="7" t="s">
        <v>3</v>
      </c>
      <c r="B28" s="21" t="s">
        <v>523</v>
      </c>
      <c r="C28" s="22" t="s">
        <v>8</v>
      </c>
      <c r="D28" s="23" t="s">
        <v>31</v>
      </c>
      <c r="E28" s="21" t="s">
        <v>31</v>
      </c>
      <c r="F28" s="21">
        <v>24</v>
      </c>
      <c r="G28" s="6"/>
      <c r="H28" s="30" t="s">
        <v>54</v>
      </c>
      <c r="I28" s="25" t="s">
        <v>977</v>
      </c>
      <c r="J28" s="26" t="s">
        <v>978</v>
      </c>
      <c r="K28" s="26" t="s">
        <v>979</v>
      </c>
      <c r="L28" s="26" t="s">
        <v>980</v>
      </c>
      <c r="M28" s="26" t="s">
        <v>981</v>
      </c>
      <c r="N28" s="26" t="s">
        <v>993</v>
      </c>
      <c r="O28" s="26" t="s">
        <v>982</v>
      </c>
      <c r="P28" s="26" t="s">
        <v>983</v>
      </c>
      <c r="Q28" s="26" t="s">
        <v>984</v>
      </c>
      <c r="R28" s="26" t="s">
        <v>985</v>
      </c>
      <c r="S28" s="26"/>
      <c r="T28" s="26"/>
      <c r="U28" s="26"/>
      <c r="V28" s="26"/>
      <c r="W28" s="26"/>
      <c r="X28" s="55"/>
      <c r="Y28" s="52"/>
      <c r="Z28" s="26"/>
      <c r="AA28" s="26"/>
      <c r="AB28" s="26"/>
      <c r="AC28" s="26"/>
      <c r="AD28" s="26"/>
      <c r="AE28" s="26"/>
      <c r="AF28" s="55"/>
      <c r="AG28" s="52"/>
      <c r="AH28" s="26"/>
      <c r="AI28" s="26"/>
      <c r="AJ28" s="27"/>
      <c r="AK28" s="25"/>
      <c r="AL28" s="26"/>
      <c r="AM28" s="26"/>
      <c r="AN28" s="55"/>
      <c r="AO28" s="62"/>
      <c r="AP28" s="62"/>
      <c r="AQ28" s="62"/>
      <c r="AR28" s="62"/>
      <c r="AS28" s="52" t="s">
        <v>994</v>
      </c>
      <c r="AT28" s="27"/>
      <c r="AU28" s="52" t="s">
        <v>995</v>
      </c>
      <c r="AV28" s="27"/>
      <c r="AW28" s="52" t="s">
        <v>996</v>
      </c>
      <c r="AX28" s="27"/>
      <c r="AY28" s="138" t="str">
        <f t="shared" ref="AY28:BC29" si="24">IF(ISNUMBER(S28),S28," - ")</f>
        <v xml:space="preserve"> - </v>
      </c>
      <c r="AZ28" s="139" t="str">
        <f t="shared" si="24"/>
        <v xml:space="preserve"> - </v>
      </c>
      <c r="BA28" s="139" t="str">
        <f t="shared" si="24"/>
        <v xml:space="preserve"> - </v>
      </c>
      <c r="BB28" s="139" t="str">
        <f t="shared" si="24"/>
        <v xml:space="preserve"> - </v>
      </c>
      <c r="BC28" s="135" t="str">
        <f t="shared" si="24"/>
        <v xml:space="preserve"> - </v>
      </c>
      <c r="BD28" s="107" t="str">
        <f t="shared" ref="BD28:BD30" si="25">IF(ISNUMBER(BA28/AZ28),BA28/AZ28," - ")</f>
        <v xml:space="preserve"> - </v>
      </c>
      <c r="BE28" s="108" t="str">
        <f t="shared" ref="BE28:BE30" si="26">IF(ISNUMBER(BB28/BA28),BB28/BA28, " - ")</f>
        <v xml:space="preserve"> - </v>
      </c>
      <c r="BF28" s="108" t="str">
        <f t="shared" ref="BF28:BF30" si="27">IF(ISNUMBER(BC28/BA28),BC28/BA28, " - ")</f>
        <v xml:space="preserve"> - </v>
      </c>
      <c r="BG28" s="109" t="str">
        <f t="shared" ref="BG28:BG30" si="28">IF(ISNUMBER((AY28+AZ28)/BA28),(AY28+AZ28)/BA28," - ")</f>
        <v xml:space="preserve"> - </v>
      </c>
      <c r="BH28" s="62"/>
      <c r="BI28" s="62"/>
      <c r="BJ28" s="52"/>
      <c r="BK28" s="62"/>
      <c r="BL28" s="62"/>
      <c r="BM28" s="170">
        <v>850</v>
      </c>
      <c r="BN28" s="186"/>
      <c r="BO28" s="370"/>
      <c r="BP28" s="170"/>
      <c r="BQ28" s="170"/>
      <c r="BR28" s="170"/>
      <c r="BS28" s="170"/>
      <c r="BT28" s="186"/>
      <c r="BU28" s="370"/>
      <c r="BV28" s="170" t="s">
        <v>986</v>
      </c>
      <c r="BW28" s="170" t="s">
        <v>976</v>
      </c>
      <c r="BX28" s="170" t="s">
        <v>987</v>
      </c>
      <c r="BY28" s="186" t="s">
        <v>998</v>
      </c>
      <c r="BZ28" s="186"/>
      <c r="CA28" s="170" t="s">
        <v>374</v>
      </c>
      <c r="CB28" s="170" t="s">
        <v>375</v>
      </c>
      <c r="CC28" s="170" t="s">
        <v>376</v>
      </c>
      <c r="CD28" s="170" t="s">
        <v>377</v>
      </c>
      <c r="CE28" s="170"/>
      <c r="CF28" s="170"/>
      <c r="CG28" s="170"/>
      <c r="CH28" s="170"/>
      <c r="CI28" s="170" t="s">
        <v>988</v>
      </c>
      <c r="CJ28" s="170" t="s">
        <v>989</v>
      </c>
      <c r="CK28" s="170" t="s">
        <v>626</v>
      </c>
      <c r="CL28" s="170" t="s">
        <v>627</v>
      </c>
      <c r="CM28" s="170" t="s">
        <v>628</v>
      </c>
      <c r="CN28" s="186" t="s">
        <v>418</v>
      </c>
      <c r="CO28" s="170">
        <v>850</v>
      </c>
      <c r="CP28" s="186" t="s">
        <v>418</v>
      </c>
      <c r="CQ28" s="170" t="s">
        <v>715</v>
      </c>
      <c r="CR28" s="170"/>
      <c r="CS28" s="170"/>
      <c r="CT28" s="169"/>
      <c r="CU28" s="169"/>
      <c r="CV28" s="169" t="s">
        <v>590</v>
      </c>
      <c r="CW28" s="169" t="s">
        <v>990</v>
      </c>
      <c r="CX28" s="169" t="s">
        <v>457</v>
      </c>
      <c r="CY28" s="169"/>
      <c r="CZ28" s="169"/>
      <c r="DA28" s="169"/>
      <c r="DB28" s="160" t="s">
        <v>994</v>
      </c>
      <c r="DC28" s="356"/>
      <c r="DD28" s="169"/>
      <c r="DE28" s="364" t="s">
        <v>991</v>
      </c>
      <c r="DF28" s="350" t="s">
        <v>997</v>
      </c>
      <c r="DG28" s="169"/>
      <c r="DH28" s="170" t="s">
        <v>573</v>
      </c>
      <c r="DI28" s="170" t="s">
        <v>574</v>
      </c>
      <c r="DJ28" s="170" t="s">
        <v>575</v>
      </c>
      <c r="DK28" s="170"/>
      <c r="DL28" s="170"/>
      <c r="DM28" s="658" t="s">
        <v>792</v>
      </c>
      <c r="DN28" s="170"/>
      <c r="DO28" s="170"/>
      <c r="DP28" s="170"/>
      <c r="DQ28" s="170"/>
      <c r="DR28" s="170"/>
      <c r="DS28" s="170"/>
      <c r="DT28" s="170"/>
      <c r="DU28" s="170" t="s">
        <v>791</v>
      </c>
      <c r="DV28" s="170"/>
      <c r="DW28" s="170"/>
      <c r="DX28" s="170"/>
      <c r="DY28" s="170"/>
      <c r="DZ28" s="170"/>
      <c r="EA28" s="170"/>
      <c r="EB28" s="170"/>
      <c r="EC28" s="170"/>
      <c r="ED28" s="170" t="s">
        <v>992</v>
      </c>
      <c r="EE28" s="170"/>
      <c r="EF28" s="170"/>
      <c r="EG28" s="170"/>
      <c r="EH28" s="170"/>
      <c r="EI28" s="170"/>
      <c r="EJ28" s="170"/>
      <c r="EK28" s="170"/>
      <c r="EL28" s="170"/>
      <c r="EM28" s="170"/>
      <c r="EN28" s="170"/>
      <c r="EO28" s="1324" t="s">
        <v>1022</v>
      </c>
      <c r="EP28" s="1324" t="s">
        <v>1023</v>
      </c>
      <c r="EQ28" s="1324" t="s">
        <v>1024</v>
      </c>
      <c r="ER28" s="1344" t="s">
        <v>1025</v>
      </c>
      <c r="ES28" s="1340"/>
      <c r="ET28" s="1523"/>
      <c r="EU28" s="1523"/>
    </row>
    <row r="29" spans="1:151" ht="13.9" customHeight="1">
      <c r="A29" s="7" t="s">
        <v>4</v>
      </c>
      <c r="B29" s="21" t="s">
        <v>523</v>
      </c>
      <c r="C29" s="22" t="s">
        <v>8</v>
      </c>
      <c r="D29" s="23" t="s">
        <v>31</v>
      </c>
      <c r="E29" s="21" t="s">
        <v>32</v>
      </c>
      <c r="F29" s="21">
        <v>24</v>
      </c>
      <c r="G29" s="6"/>
      <c r="H29" s="30" t="s">
        <v>54</v>
      </c>
      <c r="I29" s="26" t="s">
        <v>121</v>
      </c>
      <c r="J29" s="26" t="s">
        <v>121</v>
      </c>
      <c r="K29" s="26" t="s">
        <v>121</v>
      </c>
      <c r="L29" s="26" t="s">
        <v>121</v>
      </c>
      <c r="M29" s="26" t="s">
        <v>121</v>
      </c>
      <c r="N29" s="26" t="s">
        <v>713</v>
      </c>
      <c r="O29" s="26" t="s">
        <v>305</v>
      </c>
      <c r="P29" s="26" t="s">
        <v>34</v>
      </c>
      <c r="Q29" s="26" t="s">
        <v>35</v>
      </c>
      <c r="R29" s="26" t="s">
        <v>36</v>
      </c>
      <c r="S29" s="26"/>
      <c r="T29" s="26"/>
      <c r="U29" s="26"/>
      <c r="V29" s="26"/>
      <c r="W29" s="26"/>
      <c r="X29" s="55"/>
      <c r="Y29" s="52"/>
      <c r="Z29" s="26"/>
      <c r="AA29" s="26"/>
      <c r="AB29" s="26"/>
      <c r="AC29" s="26"/>
      <c r="AD29" s="26"/>
      <c r="AE29" s="26"/>
      <c r="AF29" s="55"/>
      <c r="AG29" s="52"/>
      <c r="AH29" s="26"/>
      <c r="AI29" s="26"/>
      <c r="AJ29" s="27"/>
      <c r="AK29" s="25"/>
      <c r="AL29" s="26"/>
      <c r="AM29" s="26"/>
      <c r="AN29" s="55"/>
      <c r="AO29" s="62"/>
      <c r="AP29" s="62"/>
      <c r="AQ29" s="62"/>
      <c r="AR29" s="62"/>
      <c r="AS29" s="52" t="s">
        <v>34</v>
      </c>
      <c r="AT29" s="27"/>
      <c r="AU29" s="52" t="s">
        <v>35</v>
      </c>
      <c r="AV29" s="27"/>
      <c r="AW29" s="52" t="s">
        <v>36</v>
      </c>
      <c r="AX29" s="27"/>
      <c r="AY29" s="138" t="str">
        <f t="shared" si="24"/>
        <v xml:space="preserve"> - </v>
      </c>
      <c r="AZ29" s="139" t="str">
        <f t="shared" si="24"/>
        <v xml:space="preserve"> - </v>
      </c>
      <c r="BA29" s="139" t="str">
        <f t="shared" si="24"/>
        <v xml:space="preserve"> - </v>
      </c>
      <c r="BB29" s="139" t="str">
        <f t="shared" si="24"/>
        <v xml:space="preserve"> - </v>
      </c>
      <c r="BC29" s="135" t="str">
        <f t="shared" si="24"/>
        <v xml:space="preserve"> - </v>
      </c>
      <c r="BD29" s="107" t="str">
        <f t="shared" si="25"/>
        <v xml:space="preserve"> - </v>
      </c>
      <c r="BE29" s="108" t="str">
        <f t="shared" si="26"/>
        <v xml:space="preserve"> - </v>
      </c>
      <c r="BF29" s="108" t="str">
        <f t="shared" si="27"/>
        <v xml:space="preserve"> - </v>
      </c>
      <c r="BG29" s="109" t="str">
        <f t="shared" si="28"/>
        <v xml:space="preserve"> - </v>
      </c>
      <c r="BH29" s="62"/>
      <c r="BI29" s="62"/>
      <c r="BJ29" s="52"/>
      <c r="BK29" s="62"/>
      <c r="BL29" s="62"/>
      <c r="BM29" s="170">
        <v>850</v>
      </c>
      <c r="BN29" s="170"/>
      <c r="BO29" s="170"/>
      <c r="BP29" s="170"/>
      <c r="BQ29" s="170"/>
      <c r="BR29" s="170"/>
      <c r="BS29" s="170"/>
      <c r="BT29" s="170"/>
      <c r="BU29" s="170"/>
      <c r="BV29" s="170"/>
      <c r="BW29" s="170" t="s">
        <v>332</v>
      </c>
      <c r="BX29" s="170" t="s">
        <v>333</v>
      </c>
      <c r="BY29" s="186" t="s">
        <v>822</v>
      </c>
      <c r="BZ29" s="170"/>
      <c r="CA29" s="170"/>
      <c r="CB29" s="170"/>
      <c r="CC29" s="170"/>
      <c r="CD29" s="170"/>
      <c r="CE29" s="170"/>
      <c r="CF29" s="170"/>
      <c r="CG29" s="170"/>
      <c r="CH29" s="170"/>
      <c r="CI29" s="170"/>
      <c r="CJ29" s="170"/>
      <c r="CK29" s="170"/>
      <c r="CL29" s="170"/>
      <c r="CM29" s="170"/>
      <c r="CN29" s="170">
        <v>1292</v>
      </c>
      <c r="CO29" s="170">
        <v>850</v>
      </c>
      <c r="CP29" s="170">
        <v>1292</v>
      </c>
      <c r="CQ29" s="170" t="s">
        <v>823</v>
      </c>
      <c r="CR29" s="170"/>
      <c r="CS29" s="170"/>
      <c r="CT29" s="169"/>
      <c r="CU29" s="169"/>
      <c r="CV29" s="169"/>
      <c r="CW29" s="169"/>
      <c r="CX29" s="169"/>
      <c r="CY29" s="169"/>
      <c r="CZ29" s="169"/>
      <c r="DA29" s="169"/>
      <c r="DB29" s="160" t="s">
        <v>34</v>
      </c>
      <c r="DC29" s="356"/>
      <c r="DD29" s="169"/>
      <c r="DE29" s="364" t="s">
        <v>322</v>
      </c>
      <c r="DF29" s="350"/>
      <c r="DG29" s="169"/>
      <c r="DH29" s="170"/>
      <c r="DI29" s="170"/>
      <c r="DJ29" s="170"/>
      <c r="DK29" s="170"/>
      <c r="DL29" s="170"/>
      <c r="DM29" s="170"/>
      <c r="DN29" s="170"/>
      <c r="DO29" s="170"/>
      <c r="DP29" s="170"/>
      <c r="DQ29" s="170"/>
      <c r="DR29" s="170"/>
      <c r="DS29" s="170"/>
      <c r="DT29" s="170"/>
      <c r="DU29" s="170" t="s">
        <v>791</v>
      </c>
      <c r="DV29" s="170"/>
      <c r="DW29" s="170"/>
      <c r="DX29" s="170"/>
      <c r="DY29" s="170"/>
      <c r="DZ29" s="170"/>
      <c r="EA29" s="170"/>
      <c r="EB29" s="170"/>
      <c r="EC29" s="170"/>
      <c r="ED29" s="170"/>
      <c r="EE29" s="170"/>
      <c r="EF29" s="170"/>
      <c r="EG29" s="170"/>
      <c r="EH29" s="170"/>
      <c r="EI29" s="170"/>
      <c r="EJ29" s="170"/>
      <c r="EK29" s="170"/>
      <c r="EL29" s="170"/>
      <c r="EM29" s="170"/>
      <c r="EN29" s="170"/>
      <c r="EO29" s="1322" t="s">
        <v>1046</v>
      </c>
      <c r="EP29" s="1322" t="s">
        <v>1047</v>
      </c>
      <c r="EQ29" s="1322" t="s">
        <v>1048</v>
      </c>
      <c r="ER29" s="1343">
        <v>3500</v>
      </c>
      <c r="ES29" s="1337"/>
      <c r="ET29" s="1523"/>
      <c r="EU29" s="1523"/>
    </row>
    <row r="30" spans="1:151" ht="14.25" customHeight="1" thickBot="1">
      <c r="A30" s="77" t="s">
        <v>5</v>
      </c>
      <c r="B30" s="78" t="s">
        <v>523</v>
      </c>
      <c r="C30" s="79" t="s">
        <v>9</v>
      </c>
      <c r="D30" s="80"/>
      <c r="E30" s="81"/>
      <c r="F30" s="81"/>
      <c r="G30" s="82"/>
      <c r="H30" s="83"/>
      <c r="I30" s="113">
        <f t="shared" ref="I30:N30" si="29">SUBTOTAL(9,I28:I29)</f>
        <v>0</v>
      </c>
      <c r="J30" s="113">
        <f t="shared" si="29"/>
        <v>0</v>
      </c>
      <c r="K30" s="113">
        <f t="shared" si="29"/>
        <v>0</v>
      </c>
      <c r="L30" s="113">
        <f t="shared" si="29"/>
        <v>0</v>
      </c>
      <c r="M30" s="113">
        <f t="shared" si="29"/>
        <v>0</v>
      </c>
      <c r="N30" s="113">
        <f t="shared" si="29"/>
        <v>0</v>
      </c>
      <c r="O30" s="113"/>
      <c r="P30" s="113">
        <f t="shared" ref="P30:AO30" si="30">SUBTOTAL(9,P28:P29)</f>
        <v>0</v>
      </c>
      <c r="Q30" s="113">
        <f t="shared" si="30"/>
        <v>0</v>
      </c>
      <c r="R30" s="113">
        <f t="shared" si="30"/>
        <v>0</v>
      </c>
      <c r="S30" s="113">
        <f t="shared" si="30"/>
        <v>0</v>
      </c>
      <c r="T30" s="113">
        <f t="shared" si="30"/>
        <v>0</v>
      </c>
      <c r="U30" s="113">
        <f t="shared" si="30"/>
        <v>0</v>
      </c>
      <c r="V30" s="113">
        <f t="shared" si="30"/>
        <v>0</v>
      </c>
      <c r="W30" s="113">
        <f t="shared" si="30"/>
        <v>0</v>
      </c>
      <c r="X30" s="117">
        <f t="shared" si="30"/>
        <v>0</v>
      </c>
      <c r="Y30" s="114">
        <f t="shared" si="30"/>
        <v>0</v>
      </c>
      <c r="Z30" s="113">
        <f t="shared" si="30"/>
        <v>0</v>
      </c>
      <c r="AA30" s="113">
        <f t="shared" si="30"/>
        <v>0</v>
      </c>
      <c r="AB30" s="113">
        <f t="shared" si="30"/>
        <v>0</v>
      </c>
      <c r="AC30" s="113">
        <f t="shared" si="30"/>
        <v>0</v>
      </c>
      <c r="AD30" s="113">
        <f t="shared" si="30"/>
        <v>0</v>
      </c>
      <c r="AE30" s="113">
        <f t="shared" si="30"/>
        <v>0</v>
      </c>
      <c r="AF30" s="117">
        <f t="shared" si="30"/>
        <v>0</v>
      </c>
      <c r="AG30" s="114">
        <f t="shared" si="30"/>
        <v>0</v>
      </c>
      <c r="AH30" s="113">
        <f t="shared" si="30"/>
        <v>0</v>
      </c>
      <c r="AI30" s="113">
        <f t="shared" si="30"/>
        <v>0</v>
      </c>
      <c r="AJ30" s="115">
        <f t="shared" si="30"/>
        <v>0</v>
      </c>
      <c r="AK30" s="84">
        <f t="shared" si="30"/>
        <v>0</v>
      </c>
      <c r="AL30" s="113">
        <f t="shared" si="30"/>
        <v>0</v>
      </c>
      <c r="AM30" s="113">
        <f t="shared" si="30"/>
        <v>0</v>
      </c>
      <c r="AN30" s="117">
        <f t="shared" si="30"/>
        <v>0</v>
      </c>
      <c r="AO30" s="116">
        <f t="shared" si="30"/>
        <v>0</v>
      </c>
      <c r="AP30" s="153">
        <f>SUBTOTAL(9,AP28:AP29)-AP29</f>
        <v>0</v>
      </c>
      <c r="AQ30" s="153">
        <f>SUBTOTAL(9,AQ28:AQ29)</f>
        <v>0</v>
      </c>
      <c r="AR30" s="153">
        <f>SUBTOTAL(9,AR28:AR29)-AR29</f>
        <v>0</v>
      </c>
      <c r="AS30" s="357"/>
      <c r="AT30" s="142"/>
      <c r="AU30" s="357"/>
      <c r="AV30" s="142"/>
      <c r="AW30" s="217"/>
      <c r="AX30" s="142"/>
      <c r="AY30" s="140">
        <f>SUBTOTAL(9,AY28:AY29)</f>
        <v>0</v>
      </c>
      <c r="AZ30" s="141">
        <f>SUBTOTAL(9,AZ28:AZ29)</f>
        <v>0</v>
      </c>
      <c r="BA30" s="141">
        <f>SUBTOTAL(9,BA28:BA29)</f>
        <v>0</v>
      </c>
      <c r="BB30" s="141">
        <f>SUBTOTAL(9,BB28:BB29)</f>
        <v>0</v>
      </c>
      <c r="BC30" s="142">
        <f>SUBTOTAL(9,BC28:BC29)</f>
        <v>0</v>
      </c>
      <c r="BD30" s="118" t="str">
        <f t="shared" si="25"/>
        <v xml:space="preserve"> - </v>
      </c>
      <c r="BE30" s="119" t="str">
        <f t="shared" si="26"/>
        <v xml:space="preserve"> - </v>
      </c>
      <c r="BF30" s="119" t="str">
        <f t="shared" si="27"/>
        <v xml:space="preserve"> - </v>
      </c>
      <c r="BG30" s="120" t="str">
        <f t="shared" si="28"/>
        <v xml:space="preserve"> - </v>
      </c>
      <c r="BH30" s="153">
        <f>SUBTOTAL(9,BH28:BH29)-BH29</f>
        <v>0</v>
      </c>
      <c r="BI30" s="153">
        <f>SUBTOTAL(9,BI28:BI29)-BI29</f>
        <v>0</v>
      </c>
      <c r="BJ30" s="114"/>
      <c r="BK30" s="153">
        <f>SUBTOTAL(9,BK28:BK29)</f>
        <v>0</v>
      </c>
      <c r="BL30" s="153"/>
      <c r="BM30" s="164">
        <f>SUBTOTAL(9,BM28:BM29)</f>
        <v>1700</v>
      </c>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357"/>
      <c r="EP30" s="357"/>
      <c r="EQ30" s="357"/>
      <c r="ER30" s="164">
        <f>AVERAGE(ER28:ER29)</f>
        <v>3500</v>
      </c>
      <c r="ES30" s="164"/>
      <c r="ET30" s="153"/>
      <c r="EU30" s="1525"/>
    </row>
    <row r="31" spans="1:151" ht="14.25" customHeight="1" thickBot="1">
      <c r="A31" s="96" t="s">
        <v>6</v>
      </c>
      <c r="B31" s="97"/>
      <c r="C31" s="98" t="s">
        <v>41</v>
      </c>
      <c r="D31" s="99"/>
      <c r="E31" s="97"/>
      <c r="F31" s="97"/>
      <c r="G31" s="100"/>
      <c r="H31" s="101"/>
      <c r="I31" s="124">
        <f t="shared" ref="I31:N31" si="31">SUBTOTAL(9,I9:I30)</f>
        <v>0</v>
      </c>
      <c r="J31" s="124">
        <f t="shared" si="31"/>
        <v>0</v>
      </c>
      <c r="K31" s="124">
        <f t="shared" si="31"/>
        <v>0</v>
      </c>
      <c r="L31" s="124">
        <f t="shared" si="31"/>
        <v>0</v>
      </c>
      <c r="M31" s="124">
        <f t="shared" si="31"/>
        <v>0</v>
      </c>
      <c r="N31" s="124">
        <f t="shared" si="31"/>
        <v>0</v>
      </c>
      <c r="O31" s="124"/>
      <c r="P31" s="124">
        <f t="shared" ref="P31:AR31" si="32">SUBTOTAL(9,P9:P30)</f>
        <v>0</v>
      </c>
      <c r="Q31" s="124">
        <f t="shared" si="32"/>
        <v>0</v>
      </c>
      <c r="R31" s="124">
        <f t="shared" si="32"/>
        <v>0</v>
      </c>
      <c r="S31" s="124">
        <f t="shared" si="32"/>
        <v>0</v>
      </c>
      <c r="T31" s="124">
        <f t="shared" si="32"/>
        <v>0</v>
      </c>
      <c r="U31" s="124">
        <f t="shared" si="32"/>
        <v>0</v>
      </c>
      <c r="V31" s="124">
        <f t="shared" si="32"/>
        <v>0</v>
      </c>
      <c r="W31" s="124">
        <f t="shared" si="32"/>
        <v>0</v>
      </c>
      <c r="X31" s="124">
        <f t="shared" si="32"/>
        <v>0</v>
      </c>
      <c r="Y31" s="124">
        <f t="shared" si="32"/>
        <v>0</v>
      </c>
      <c r="Z31" s="124">
        <f t="shared" si="32"/>
        <v>0</v>
      </c>
      <c r="AA31" s="124">
        <f t="shared" si="32"/>
        <v>0</v>
      </c>
      <c r="AB31" s="124">
        <f t="shared" si="32"/>
        <v>0</v>
      </c>
      <c r="AC31" s="124">
        <f t="shared" si="32"/>
        <v>0</v>
      </c>
      <c r="AD31" s="124">
        <f t="shared" si="32"/>
        <v>0</v>
      </c>
      <c r="AE31" s="124">
        <f t="shared" si="32"/>
        <v>0</v>
      </c>
      <c r="AF31" s="124">
        <f t="shared" si="32"/>
        <v>0</v>
      </c>
      <c r="AG31" s="124">
        <f t="shared" si="32"/>
        <v>0</v>
      </c>
      <c r="AH31" s="124">
        <f t="shared" si="32"/>
        <v>0</v>
      </c>
      <c r="AI31" s="124">
        <f t="shared" si="32"/>
        <v>0</v>
      </c>
      <c r="AJ31" s="124">
        <f t="shared" si="32"/>
        <v>0</v>
      </c>
      <c r="AK31" s="124">
        <f t="shared" si="32"/>
        <v>0</v>
      </c>
      <c r="AL31" s="124">
        <f t="shared" si="32"/>
        <v>0</v>
      </c>
      <c r="AM31" s="124">
        <f t="shared" si="32"/>
        <v>0</v>
      </c>
      <c r="AN31" s="125">
        <f t="shared" si="32"/>
        <v>0</v>
      </c>
      <c r="AO31" s="126">
        <f t="shared" si="32"/>
        <v>0</v>
      </c>
      <c r="AP31" s="126">
        <f t="shared" si="32"/>
        <v>0</v>
      </c>
      <c r="AQ31" s="126">
        <f t="shared" si="32"/>
        <v>0</v>
      </c>
      <c r="AR31" s="126">
        <f t="shared" si="32"/>
        <v>0</v>
      </c>
      <c r="AS31" s="365"/>
      <c r="AT31" s="226"/>
      <c r="AU31" s="365"/>
      <c r="AV31" s="226"/>
      <c r="AW31" s="225"/>
      <c r="AX31" s="226"/>
      <c r="AY31" s="143">
        <f>SUBTOTAL(9,AY9:AY30)</f>
        <v>0</v>
      </c>
      <c r="AZ31" s="144">
        <f>SUBTOTAL(9,AZ9:AZ30)</f>
        <v>0</v>
      </c>
      <c r="BA31" s="144">
        <f>SUBTOTAL(9,BA9:BA30)</f>
        <v>0</v>
      </c>
      <c r="BB31" s="144">
        <f>SUBTOTAL(9,BB9:BB30)</f>
        <v>0</v>
      </c>
      <c r="BC31" s="145">
        <f>SUBTOTAL(9,BC9:BC30)</f>
        <v>0</v>
      </c>
      <c r="BD31" s="127" t="str">
        <f>IF(ISNUMBER(BA31/AZ31),BA31/AZ31," - ")</f>
        <v xml:space="preserve"> - </v>
      </c>
      <c r="BE31" s="128" t="str">
        <f>IF(ISNUMBER(BB31/BA31),BB31/BA31, " - ")</f>
        <v xml:space="preserve"> - </v>
      </c>
      <c r="BF31" s="128" t="str">
        <f>IF(ISNUMBER(BC31/BA31),BC31/BA31, " - ")</f>
        <v xml:space="preserve"> - </v>
      </c>
      <c r="BG31" s="129" t="str">
        <f>IF(ISNUMBER((AY31+AZ31)/BA31),(AY31+AZ31)/BA31," - ")</f>
        <v xml:space="preserve"> - </v>
      </c>
      <c r="BH31" s="126">
        <f>SUBTOTAL(9,BH9:BH30)</f>
        <v>0</v>
      </c>
      <c r="BI31" s="126">
        <f>SUBTOTAL(9,BI9:BI30)</f>
        <v>0</v>
      </c>
      <c r="BJ31" s="126"/>
      <c r="BK31" s="126">
        <f>SUBTOTAL(9,BK9:BK30)</f>
        <v>0</v>
      </c>
      <c r="BL31" s="126"/>
      <c r="BM31" s="166">
        <f>SUBTOTAL(9,BM9:BM30)</f>
        <v>20155</v>
      </c>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365"/>
      <c r="DC31" s="366"/>
      <c r="DD31" s="365"/>
      <c r="DE31" s="365"/>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365"/>
      <c r="EP31" s="365"/>
      <c r="EQ31" s="365"/>
      <c r="ER31" s="164">
        <f>AVERAGE(ER9:ER30)</f>
        <v>1757.9375</v>
      </c>
      <c r="ES31" s="164">
        <f>AVERAGE(ES9:ES30)</f>
        <v>0</v>
      </c>
      <c r="ET31" s="1525"/>
      <c r="EU31" s="1525"/>
    </row>
    <row r="32" spans="1:151"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7j/1nCMf7ePea4kOTwQYPg8LAtZi8xXYHrIaaJEJPd09plDSPX9UFcIynUWmOon+pzMR9hwjfFJlwYi7nsAdUw==" saltValue="MRZVwwaWB3GjWmS0rNJLGQ==" spinCount="100000" sheet="1" objects="1" scenarios="1"/>
  <mergeCells count="119">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T6:BT7"/>
    <mergeCell ref="CE4:CH4"/>
    <mergeCell ref="CE5:CE7"/>
    <mergeCell ref="CH5:CH7"/>
    <mergeCell ref="CG5:CG7"/>
    <mergeCell ref="CF5:CF7"/>
    <mergeCell ref="BT5:BU5"/>
    <mergeCell ref="CB5:CB7"/>
    <mergeCell ref="BV5:BV7"/>
    <mergeCell ref="BN6:BN7"/>
    <mergeCell ref="BO6:BO7"/>
    <mergeCell ref="BP6:BP7"/>
    <mergeCell ref="BQ6:BQ7"/>
    <mergeCell ref="BX5:BX7"/>
    <mergeCell ref="CQ5:CQ7"/>
    <mergeCell ref="CK5:CK7"/>
    <mergeCell ref="CP5:CP7"/>
    <mergeCell ref="CL5:CL7"/>
    <mergeCell ref="DW5:DW7"/>
    <mergeCell ref="BW5:BW7"/>
    <mergeCell ref="CC5:CC7"/>
    <mergeCell ref="BY5:BY7"/>
    <mergeCell ref="DX5:DX7"/>
    <mergeCell ref="DB5:DB7"/>
    <mergeCell ref="DC5:DC7"/>
    <mergeCell ref="DD5:DD7"/>
    <mergeCell ref="CU5:CU7"/>
    <mergeCell ref="DA5:DA7"/>
    <mergeCell ref="CW5:CW7"/>
    <mergeCell ref="CX5:CX7"/>
    <mergeCell ref="CO5:CO7"/>
    <mergeCell ref="CS5:CS7"/>
    <mergeCell ref="CV5:CV7"/>
    <mergeCell ref="CT5:CT7"/>
    <mergeCell ref="DI5:DI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DE5:DE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DP5:DP7"/>
    <mergeCell ref="DQ5:DQ7"/>
    <mergeCell ref="DR5:DR7"/>
    <mergeCell ref="DS5:DS7"/>
    <mergeCell ref="DT5:DT7"/>
    <mergeCell ref="DU5:DU7"/>
    <mergeCell ref="DV5:DV7"/>
    <mergeCell ref="EO5:EO7"/>
  </mergeCells>
  <phoneticPr fontId="0" type="noConversion"/>
  <conditionalFormatting sqref="EB21:EG22 EC20:EG20 DM17:EA22 DM16:DZ16 DN28:EA28 BH25:DF25 DL25 BH12:BI13 BJ11:BJ13 BV11:BX11 CA11:CD11 CS12:CS13 AO10 AQ10 AO12:AR13 Y10:AB10 S9:X13 AC10:AN13 Y13:AB13 BK12:CJ13 AC9:AX9 CT11:DF13 CK11:CR13 BH20:BI21 BJ16:BJ22 CS20:CS21 CS16:CS18 CP21:CR21 AQ18 AO16:AR16 AO20:AR21 S16:AN22 BT17:BX17 CP20 BK20:CO21 CM16:CP18 CK16:CL17 BK16:CJ16 CQ16:CR20 BK18:BX18 BZ18:CL18 DH20:DL21 DH16:DL18 BH28:BI28 BJ28:BJ29 BW29:BX29 AO28:AR28 S28:AN29 BK28:BN28 BP28:BX28 BY28:DF29 EB16:EG19 EH22:EI22 EH16:EI16 EH17:EK21 CT16:DF22 BJ10:DF10 EN13 EO9 EO10:EQ13 EO28:EQ29 EO16:EQ22 ES10:ES13 BJ9:DL9 DF10:EM13 EN10:EN11">
    <cfRule type="cellIs" dxfId="1828" priority="2101" stopIfTrue="1" operator="equal">
      <formula>$A$43</formula>
    </cfRule>
  </conditionalFormatting>
  <conditionalFormatting sqref="BD15:BG15 BD24:BG24 BD27:BG27 I26:BC27 BH26:DF27 I8:DF8 DF1 I23:BC24 DH8:DJ8 I30:DL30 BH14:EA15 BH23:EK24 I14:BC15 I31:EN31 EO8:EQ8 EO30:EQ31 EO14:EQ15 EO23:EQ24">
    <cfRule type="cellIs" dxfId="1827" priority="2102" stopIfTrue="1" operator="equal">
      <formula>$A$43</formula>
    </cfRule>
  </conditionalFormatting>
  <conditionalFormatting sqref="DE25:DF25 BY11:BZ11 CE11:CJ11 BY13 CO11 AR10 AP10 Y11:AB12 I9:R9 Y9:AB9 BK11:BU11 CS11:DF11 AO11:AR11 I11:R13 BH17:BI19 CO17 AP18 AR18 AP17:AR17 AO17:AO19 BK17:CJ17 CS17:DE17 I16:R21 AP19:AR19 AO22:AR22 I22:M22 O22:R22 BK19:DG19 BK22:DL22 BH29:BI29 CO29 AO29:AR29 I28:R29 BK29:BV29 DE28:DF29 EO11:EQ11 EO17:EQ17 EO19:EQ19 EO22:EQ22 ES19 ES22 BH10:BI11">
    <cfRule type="cellIs" dxfId="1826" priority="2103" stopIfTrue="1" operator="equal">
      <formula>$A$42</formula>
    </cfRule>
  </conditionalFormatting>
  <conditionalFormatting sqref="DB26:DE27">
    <cfRule type="cellIs" dxfId="1825" priority="1933" stopIfTrue="1" operator="equal">
      <formula>$A$43</formula>
    </cfRule>
  </conditionalFormatting>
  <conditionalFormatting sqref="DF1">
    <cfRule type="cellIs" dxfId="1824" priority="1919" stopIfTrue="1" operator="equal">
      <formula>$A$43</formula>
    </cfRule>
  </conditionalFormatting>
  <conditionalFormatting sqref="DF1">
    <cfRule type="cellIs" dxfId="1823" priority="1918" stopIfTrue="1" operator="equal">
      <formula>$A$43</formula>
    </cfRule>
  </conditionalFormatting>
  <conditionalFormatting sqref="DF23:DF24">
    <cfRule type="cellIs" dxfId="1822" priority="1916" stopIfTrue="1" operator="equal">
      <formula>$A$43</formula>
    </cfRule>
  </conditionalFormatting>
  <conditionalFormatting sqref="DF26:DF27">
    <cfRule type="cellIs" dxfId="1821" priority="1913" stopIfTrue="1" operator="equal">
      <formula>$A$43</formula>
    </cfRule>
  </conditionalFormatting>
  <conditionalFormatting sqref="DF26:DF27">
    <cfRule type="cellIs" dxfId="1820" priority="1910" stopIfTrue="1" operator="equal">
      <formula>$A$43</formula>
    </cfRule>
  </conditionalFormatting>
  <conditionalFormatting sqref="DF14:DF15">
    <cfRule type="cellIs" dxfId="1819" priority="1903" stopIfTrue="1" operator="equal">
      <formula>$A$43</formula>
    </cfRule>
  </conditionalFormatting>
  <conditionalFormatting sqref="DF14:DF15">
    <cfRule type="cellIs" dxfId="1818" priority="1900" stopIfTrue="1" operator="equal">
      <formula>$A$43</formula>
    </cfRule>
  </conditionalFormatting>
  <conditionalFormatting sqref="AS26:AX27">
    <cfRule type="cellIs" dxfId="1817" priority="1895" stopIfTrue="1" operator="equal">
      <formula>$A$43</formula>
    </cfRule>
  </conditionalFormatting>
  <conditionalFormatting sqref="AS26:AS27">
    <cfRule type="cellIs" dxfId="1816" priority="1892" stopIfTrue="1" operator="equal">
      <formula>$A$43</formula>
    </cfRule>
  </conditionalFormatting>
  <conditionalFormatting sqref="AS26:AS27">
    <cfRule type="cellIs" dxfId="1815" priority="1889" stopIfTrue="1" operator="equal">
      <formula>$A$43</formula>
    </cfRule>
  </conditionalFormatting>
  <conditionalFormatting sqref="AS14:AS15">
    <cfRule type="cellIs" dxfId="1814" priority="1885" stopIfTrue="1" operator="equal">
      <formula>$A$43</formula>
    </cfRule>
  </conditionalFormatting>
  <conditionalFormatting sqref="AS14:AS15">
    <cfRule type="cellIs" dxfId="1813" priority="1882" stopIfTrue="1" operator="equal">
      <formula>$A$43</formula>
    </cfRule>
  </conditionalFormatting>
  <conditionalFormatting sqref="AS26:AS27">
    <cfRule type="cellIs" dxfId="1812" priority="1872" stopIfTrue="1" operator="equal">
      <formula>$A$43</formula>
    </cfRule>
  </conditionalFormatting>
  <conditionalFormatting sqref="AS26:AS27">
    <cfRule type="cellIs" dxfId="1811" priority="1869" stopIfTrue="1" operator="equal">
      <formula>$A$43</formula>
    </cfRule>
  </conditionalFormatting>
  <conditionalFormatting sqref="AS26:AS27">
    <cfRule type="cellIs" dxfId="1810" priority="1859" stopIfTrue="1" operator="equal">
      <formula>$A$43</formula>
    </cfRule>
  </conditionalFormatting>
  <conditionalFormatting sqref="AS26:AS27">
    <cfRule type="cellIs" dxfId="1809" priority="1856" stopIfTrue="1" operator="equal">
      <formula>$A$43</formula>
    </cfRule>
  </conditionalFormatting>
  <conditionalFormatting sqref="AS26:AS27">
    <cfRule type="cellIs" dxfId="1808" priority="1846" stopIfTrue="1" operator="equal">
      <formula>$A$43</formula>
    </cfRule>
  </conditionalFormatting>
  <conditionalFormatting sqref="AS26:AS27">
    <cfRule type="cellIs" dxfId="1807" priority="1843" stopIfTrue="1" operator="equal">
      <formula>$A$43</formula>
    </cfRule>
  </conditionalFormatting>
  <conditionalFormatting sqref="AS26:AS27">
    <cfRule type="cellIs" dxfId="1806" priority="1833" stopIfTrue="1" operator="equal">
      <formula>$A$43</formula>
    </cfRule>
  </conditionalFormatting>
  <conditionalFormatting sqref="AS26:AS27">
    <cfRule type="cellIs" dxfId="1805" priority="1830" stopIfTrue="1" operator="equal">
      <formula>$A$43</formula>
    </cfRule>
  </conditionalFormatting>
  <conditionalFormatting sqref="AS26:AS27">
    <cfRule type="cellIs" dxfId="1804" priority="1820" stopIfTrue="1" operator="equal">
      <formula>$A$43</formula>
    </cfRule>
  </conditionalFormatting>
  <conditionalFormatting sqref="AS26:AS27">
    <cfRule type="cellIs" dxfId="1803" priority="1817" stopIfTrue="1" operator="equal">
      <formula>$A$43</formula>
    </cfRule>
  </conditionalFormatting>
  <conditionalFormatting sqref="AU26:AU27">
    <cfRule type="cellIs" dxfId="1802" priority="1806" stopIfTrue="1" operator="equal">
      <formula>$A$43</formula>
    </cfRule>
  </conditionalFormatting>
  <conditionalFormatting sqref="AU26:AU27">
    <cfRule type="cellIs" dxfId="1801" priority="1803" stopIfTrue="1" operator="equal">
      <formula>$A$43</formula>
    </cfRule>
  </conditionalFormatting>
  <conditionalFormatting sqref="AU14:AU15">
    <cfRule type="cellIs" dxfId="1800" priority="1799" stopIfTrue="1" operator="equal">
      <formula>$A$43</formula>
    </cfRule>
  </conditionalFormatting>
  <conditionalFormatting sqref="AU14:AU15">
    <cfRule type="cellIs" dxfId="1799" priority="1796" stopIfTrue="1" operator="equal">
      <formula>$A$43</formula>
    </cfRule>
  </conditionalFormatting>
  <conditionalFormatting sqref="AU26:AU27">
    <cfRule type="cellIs" dxfId="1798" priority="1786" stopIfTrue="1" operator="equal">
      <formula>$A$43</formula>
    </cfRule>
  </conditionalFormatting>
  <conditionalFormatting sqref="AU26:AU27">
    <cfRule type="cellIs" dxfId="1797" priority="1783" stopIfTrue="1" operator="equal">
      <formula>$A$43</formula>
    </cfRule>
  </conditionalFormatting>
  <conditionalFormatting sqref="AU26:AU27">
    <cfRule type="cellIs" dxfId="1796" priority="1773" stopIfTrue="1" operator="equal">
      <formula>$A$43</formula>
    </cfRule>
  </conditionalFormatting>
  <conditionalFormatting sqref="AU26:AU27">
    <cfRule type="cellIs" dxfId="1795" priority="1770" stopIfTrue="1" operator="equal">
      <formula>$A$43</formula>
    </cfRule>
  </conditionalFormatting>
  <conditionalFormatting sqref="AU26:AU27">
    <cfRule type="cellIs" dxfId="1794" priority="1760" stopIfTrue="1" operator="equal">
      <formula>$A$43</formula>
    </cfRule>
  </conditionalFormatting>
  <conditionalFormatting sqref="AU26:AU27">
    <cfRule type="cellIs" dxfId="1793" priority="1757" stopIfTrue="1" operator="equal">
      <formula>$A$43</formula>
    </cfRule>
  </conditionalFormatting>
  <conditionalFormatting sqref="AU26:AU27">
    <cfRule type="cellIs" dxfId="1792" priority="1747" stopIfTrue="1" operator="equal">
      <formula>$A$43</formula>
    </cfRule>
  </conditionalFormatting>
  <conditionalFormatting sqref="AU26:AU27">
    <cfRule type="cellIs" dxfId="1791" priority="1744" stopIfTrue="1" operator="equal">
      <formula>$A$43</formula>
    </cfRule>
  </conditionalFormatting>
  <conditionalFormatting sqref="AU26:AU27">
    <cfRule type="cellIs" dxfId="1790" priority="1734" stopIfTrue="1" operator="equal">
      <formula>$A$43</formula>
    </cfRule>
  </conditionalFormatting>
  <conditionalFormatting sqref="AU26:AU27">
    <cfRule type="cellIs" dxfId="1789" priority="1731" stopIfTrue="1" operator="equal">
      <formula>$A$43</formula>
    </cfRule>
  </conditionalFormatting>
  <conditionalFormatting sqref="DG26:DG27">
    <cfRule type="cellIs" dxfId="1788" priority="776" stopIfTrue="1" operator="equal">
      <formula>$A$43</formula>
    </cfRule>
  </conditionalFormatting>
  <conditionalFormatting sqref="DG8">
    <cfRule type="cellIs" dxfId="1787" priority="774" stopIfTrue="1" operator="equal">
      <formula>$A$43</formula>
    </cfRule>
  </conditionalFormatting>
  <conditionalFormatting sqref="DH26:DJ27">
    <cfRule type="cellIs" dxfId="1786" priority="772" stopIfTrue="1" operator="equal">
      <formula>$A$43</formula>
    </cfRule>
  </conditionalFormatting>
  <conditionalFormatting sqref="DK8">
    <cfRule type="cellIs" dxfId="1785" priority="769" stopIfTrue="1" operator="equal">
      <formula>$A$43</formula>
    </cfRule>
  </conditionalFormatting>
  <conditionalFormatting sqref="DK26:DK27">
    <cfRule type="cellIs" dxfId="1784" priority="767" stopIfTrue="1" operator="equal">
      <formula>$A$43</formula>
    </cfRule>
  </conditionalFormatting>
  <conditionalFormatting sqref="DL8">
    <cfRule type="cellIs" dxfId="1783" priority="765" stopIfTrue="1" operator="equal">
      <formula>$A$43</formula>
    </cfRule>
  </conditionalFormatting>
  <conditionalFormatting sqref="DL26:DL27">
    <cfRule type="cellIs" dxfId="1782" priority="763" stopIfTrue="1" operator="equal">
      <formula>$A$43</formula>
    </cfRule>
  </conditionalFormatting>
  <conditionalFormatting sqref="DM8:DX8">
    <cfRule type="cellIs" dxfId="1781" priority="747" stopIfTrue="1" operator="equal">
      <formula>$A$43</formula>
    </cfRule>
  </conditionalFormatting>
  <conditionalFormatting sqref="DM9:DU9">
    <cfRule type="cellIs" dxfId="1780" priority="745" stopIfTrue="1" operator="equal">
      <formula>$A$43</formula>
    </cfRule>
  </conditionalFormatting>
  <conditionalFormatting sqref="DM26:DU27">
    <cfRule type="cellIs" dxfId="1779" priority="746" stopIfTrue="1" operator="equal">
      <formula>$A$43</formula>
    </cfRule>
  </conditionalFormatting>
  <conditionalFormatting sqref="DV9">
    <cfRule type="cellIs" dxfId="1778" priority="730" stopIfTrue="1" operator="equal">
      <formula>$A$43</formula>
    </cfRule>
  </conditionalFormatting>
  <conditionalFormatting sqref="DV26:DV27">
    <cfRule type="cellIs" dxfId="1777" priority="731" stopIfTrue="1" operator="equal">
      <formula>$A$43</formula>
    </cfRule>
  </conditionalFormatting>
  <conditionalFormatting sqref="DW9">
    <cfRule type="cellIs" dxfId="1776" priority="724" stopIfTrue="1" operator="equal">
      <formula>$A$43</formula>
    </cfRule>
  </conditionalFormatting>
  <conditionalFormatting sqref="DW26:DW27">
    <cfRule type="cellIs" dxfId="1775" priority="725" stopIfTrue="1" operator="equal">
      <formula>$A$43</formula>
    </cfRule>
  </conditionalFormatting>
  <conditionalFormatting sqref="DX9">
    <cfRule type="cellIs" dxfId="1774" priority="718" stopIfTrue="1" operator="equal">
      <formula>$A$43</formula>
    </cfRule>
  </conditionalFormatting>
  <conditionalFormatting sqref="DX26:DX27">
    <cfRule type="cellIs" dxfId="1773" priority="719" stopIfTrue="1" operator="equal">
      <formula>$A$43</formula>
    </cfRule>
  </conditionalFormatting>
  <conditionalFormatting sqref="DY8:EJ8">
    <cfRule type="cellIs" dxfId="1772" priority="713" stopIfTrue="1" operator="equal">
      <formula>$A$43</formula>
    </cfRule>
  </conditionalFormatting>
  <conditionalFormatting sqref="DY9">
    <cfRule type="cellIs" dxfId="1771" priority="711" stopIfTrue="1" operator="equal">
      <formula>$A$43</formula>
    </cfRule>
  </conditionalFormatting>
  <conditionalFormatting sqref="DY26:DY27">
    <cfRule type="cellIs" dxfId="1770" priority="712" stopIfTrue="1" operator="equal">
      <formula>$A$43</formula>
    </cfRule>
  </conditionalFormatting>
  <conditionalFormatting sqref="DZ9">
    <cfRule type="cellIs" dxfId="1769" priority="705" stopIfTrue="1" operator="equal">
      <formula>$A$43</formula>
    </cfRule>
  </conditionalFormatting>
  <conditionalFormatting sqref="DZ26:DZ27">
    <cfRule type="cellIs" dxfId="1768" priority="706" stopIfTrue="1" operator="equal">
      <formula>$A$43</formula>
    </cfRule>
  </conditionalFormatting>
  <conditionalFormatting sqref="EA9">
    <cfRule type="cellIs" dxfId="1767" priority="699" stopIfTrue="1" operator="equal">
      <formula>$A$43</formula>
    </cfRule>
  </conditionalFormatting>
  <conditionalFormatting sqref="EA26:EA27">
    <cfRule type="cellIs" dxfId="1766" priority="700" stopIfTrue="1" operator="equal">
      <formula>$A$43</formula>
    </cfRule>
  </conditionalFormatting>
  <conditionalFormatting sqref="DM29:EA29">
    <cfRule type="cellIs" dxfId="1765" priority="696" stopIfTrue="1" operator="equal">
      <formula>$A$43</formula>
    </cfRule>
  </conditionalFormatting>
  <conditionalFormatting sqref="DM30:EA30">
    <cfRule type="cellIs" dxfId="1764" priority="693" stopIfTrue="1" operator="equal">
      <formula>$A$43</formula>
    </cfRule>
  </conditionalFormatting>
  <conditionalFormatting sqref="S25:AR25">
    <cfRule type="cellIs" dxfId="1763" priority="689" stopIfTrue="1" operator="equal">
      <formula>$A$43</formula>
    </cfRule>
  </conditionalFormatting>
  <conditionalFormatting sqref="I25:R25">
    <cfRule type="cellIs" dxfId="1762" priority="690" stopIfTrue="1" operator="equal">
      <formula>$A$42</formula>
    </cfRule>
  </conditionalFormatting>
  <conditionalFormatting sqref="DF25">
    <cfRule type="cellIs" dxfId="1761" priority="688" stopIfTrue="1" operator="equal">
      <formula>$A$43</formula>
    </cfRule>
  </conditionalFormatting>
  <conditionalFormatting sqref="AS25:AX25 AS10:AX13">
    <cfRule type="cellIs" dxfId="1760" priority="687" stopIfTrue="1" operator="equal">
      <formula>$A$41</formula>
    </cfRule>
  </conditionalFormatting>
  <conditionalFormatting sqref="DG25">
    <cfRule type="cellIs" dxfId="1759" priority="686" stopIfTrue="1" operator="equal">
      <formula>$A$43</formula>
    </cfRule>
  </conditionalFormatting>
  <conditionalFormatting sqref="DH25:DJ25">
    <cfRule type="cellIs" dxfId="1758" priority="685" stopIfTrue="1" operator="equal">
      <formula>$A$43</formula>
    </cfRule>
  </conditionalFormatting>
  <conditionalFormatting sqref="DK25">
    <cfRule type="cellIs" dxfId="1757" priority="684" stopIfTrue="1" operator="equal">
      <formula>$A$43</formula>
    </cfRule>
  </conditionalFormatting>
  <conditionalFormatting sqref="DM25">
    <cfRule type="cellIs" dxfId="1756" priority="682" stopIfTrue="1" operator="equal">
      <formula>$A$43</formula>
    </cfRule>
  </conditionalFormatting>
  <conditionalFormatting sqref="DN25">
    <cfRule type="cellIs" dxfId="1755" priority="681" stopIfTrue="1" operator="equal">
      <formula>$A$43</formula>
    </cfRule>
  </conditionalFormatting>
  <conditionalFormatting sqref="DO25">
    <cfRule type="cellIs" dxfId="1754" priority="680" stopIfTrue="1" operator="equal">
      <formula>$A$43</formula>
    </cfRule>
  </conditionalFormatting>
  <conditionalFormatting sqref="DP25">
    <cfRule type="cellIs" dxfId="1753" priority="679" stopIfTrue="1" operator="equal">
      <formula>$A$43</formula>
    </cfRule>
  </conditionalFormatting>
  <conditionalFormatting sqref="DQ25">
    <cfRule type="cellIs" dxfId="1752" priority="678" stopIfTrue="1" operator="equal">
      <formula>$A$43</formula>
    </cfRule>
  </conditionalFormatting>
  <conditionalFormatting sqref="DR25">
    <cfRule type="cellIs" dxfId="1751" priority="677" stopIfTrue="1" operator="equal">
      <formula>$A$43</formula>
    </cfRule>
  </conditionalFormatting>
  <conditionalFormatting sqref="DS25">
    <cfRule type="cellIs" dxfId="1750" priority="676" stopIfTrue="1" operator="equal">
      <formula>$A$43</formula>
    </cfRule>
  </conditionalFormatting>
  <conditionalFormatting sqref="DT25">
    <cfRule type="cellIs" dxfId="1749" priority="674" stopIfTrue="1" operator="equal">
      <formula>$A$43</formula>
    </cfRule>
  </conditionalFormatting>
  <conditionalFormatting sqref="DU25">
    <cfRule type="cellIs" dxfId="1748" priority="673" stopIfTrue="1" operator="equal">
      <formula>$A$43</formula>
    </cfRule>
  </conditionalFormatting>
  <conditionalFormatting sqref="DV25">
    <cfRule type="cellIs" dxfId="1747" priority="671" stopIfTrue="1" operator="equal">
      <formula>$A$43</formula>
    </cfRule>
  </conditionalFormatting>
  <conditionalFormatting sqref="DW25">
    <cfRule type="cellIs" dxfId="1746" priority="669" stopIfTrue="1" operator="equal">
      <formula>$A$43</formula>
    </cfRule>
  </conditionalFormatting>
  <conditionalFormatting sqref="DX25">
    <cfRule type="cellIs" dxfId="1745" priority="667" stopIfTrue="1" operator="equal">
      <formula>$A$43</formula>
    </cfRule>
  </conditionalFormatting>
  <conditionalFormatting sqref="DY25">
    <cfRule type="cellIs" dxfId="1744" priority="665" stopIfTrue="1" operator="equal">
      <formula>$A$43</formula>
    </cfRule>
  </conditionalFormatting>
  <conditionalFormatting sqref="DZ25">
    <cfRule type="cellIs" dxfId="1743" priority="663" stopIfTrue="1" operator="equal">
      <formula>$A$43</formula>
    </cfRule>
  </conditionalFormatting>
  <conditionalFormatting sqref="EA25">
    <cfRule type="cellIs" dxfId="1742" priority="661" stopIfTrue="1" operator="equal">
      <formula>$A$43</formula>
    </cfRule>
  </conditionalFormatting>
  <conditionalFormatting sqref="BH9:BI9">
    <cfRule type="cellIs" dxfId="1741" priority="658" stopIfTrue="1" operator="equal">
      <formula>$A$43</formula>
    </cfRule>
  </conditionalFormatting>
  <conditionalFormatting sqref="M10:R10">
    <cfRule type="cellIs" dxfId="1740" priority="660" stopIfTrue="1" operator="equal">
      <formula>$B$42</formula>
    </cfRule>
  </conditionalFormatting>
  <conditionalFormatting sqref="BN13:BO13">
    <cfRule type="cellIs" dxfId="1739" priority="657" stopIfTrue="1" operator="equal">
      <formula>$A$42</formula>
    </cfRule>
  </conditionalFormatting>
  <conditionalFormatting sqref="BT13:BU13">
    <cfRule type="cellIs" dxfId="1738" priority="656" stopIfTrue="1" operator="equal">
      <formula>$A$42</formula>
    </cfRule>
  </conditionalFormatting>
  <conditionalFormatting sqref="DB13">
    <cfRule type="cellIs" dxfId="1737" priority="653" stopIfTrue="1" operator="equal">
      <formula>$A$43</formula>
    </cfRule>
  </conditionalFormatting>
  <conditionalFormatting sqref="DB13">
    <cfRule type="cellIs" dxfId="1736" priority="652" stopIfTrue="1" operator="equal">
      <formula>$A$43</formula>
    </cfRule>
  </conditionalFormatting>
  <conditionalFormatting sqref="DB13">
    <cfRule type="cellIs" dxfId="1735" priority="651" stopIfTrue="1" operator="equal">
      <formula>$A$43</formula>
    </cfRule>
  </conditionalFormatting>
  <conditionalFormatting sqref="DB13">
    <cfRule type="cellIs" dxfId="1734" priority="650" stopIfTrue="1" operator="equal">
      <formula>$A$43</formula>
    </cfRule>
  </conditionalFormatting>
  <conditionalFormatting sqref="DB13">
    <cfRule type="cellIs" dxfId="1733" priority="649" stopIfTrue="1" operator="equal">
      <formula>$A$43</formula>
    </cfRule>
  </conditionalFormatting>
  <conditionalFormatting sqref="DB13">
    <cfRule type="cellIs" dxfId="1732" priority="648" stopIfTrue="1" operator="equal">
      <formula>$A$43</formula>
    </cfRule>
  </conditionalFormatting>
  <conditionalFormatting sqref="AS9:AX9">
    <cfRule type="cellIs" dxfId="1731" priority="645" stopIfTrue="1" operator="equal">
      <formula>$A$43</formula>
    </cfRule>
  </conditionalFormatting>
  <conditionalFormatting sqref="AU9">
    <cfRule type="cellIs" dxfId="1730" priority="644" stopIfTrue="1" operator="equal">
      <formula>$A$43</formula>
    </cfRule>
  </conditionalFormatting>
  <conditionalFormatting sqref="AU9">
    <cfRule type="cellIs" dxfId="1729" priority="643" stopIfTrue="1" operator="equal">
      <formula>$A$43</formula>
    </cfRule>
  </conditionalFormatting>
  <conditionalFormatting sqref="AW9">
    <cfRule type="cellIs" dxfId="1728" priority="642" stopIfTrue="1" operator="equal">
      <formula>$A$43</formula>
    </cfRule>
  </conditionalFormatting>
  <conditionalFormatting sqref="AW9">
    <cfRule type="cellIs" dxfId="1727" priority="641" stopIfTrue="1" operator="equal">
      <formula>$A$43</formula>
    </cfRule>
  </conditionalFormatting>
  <conditionalFormatting sqref="AW9">
    <cfRule type="cellIs" dxfId="1726" priority="640" stopIfTrue="1" operator="equal">
      <formula>$A$43</formula>
    </cfRule>
  </conditionalFormatting>
  <conditionalFormatting sqref="AW9">
    <cfRule type="cellIs" dxfId="1725" priority="639" stopIfTrue="1" operator="equal">
      <formula>$A$43</formula>
    </cfRule>
  </conditionalFormatting>
  <conditionalFormatting sqref="AW9">
    <cfRule type="cellIs" dxfId="1724" priority="638" stopIfTrue="1" operator="equal">
      <formula>$A$43</formula>
    </cfRule>
  </conditionalFormatting>
  <conditionalFormatting sqref="AW9">
    <cfRule type="cellIs" dxfId="1723" priority="637" stopIfTrue="1" operator="equal">
      <formula>$A$43</formula>
    </cfRule>
  </conditionalFormatting>
  <conditionalFormatting sqref="AW9">
    <cfRule type="cellIs" dxfId="1722" priority="636" stopIfTrue="1" operator="equal">
      <formula>$A$43</formula>
    </cfRule>
  </conditionalFormatting>
  <conditionalFormatting sqref="AW9">
    <cfRule type="cellIs" dxfId="1721" priority="635" stopIfTrue="1" operator="equal">
      <formula>$A$43</formula>
    </cfRule>
  </conditionalFormatting>
  <conditionalFormatting sqref="AW9">
    <cfRule type="cellIs" dxfId="1720" priority="634" stopIfTrue="1" operator="equal">
      <formula>$A$43</formula>
    </cfRule>
  </conditionalFormatting>
  <conditionalFormatting sqref="AW9">
    <cfRule type="cellIs" dxfId="1719" priority="633" stopIfTrue="1" operator="equal">
      <formula>$A$43</formula>
    </cfRule>
  </conditionalFormatting>
  <conditionalFormatting sqref="AW9">
    <cfRule type="cellIs" dxfId="1718" priority="632" stopIfTrue="1" operator="equal">
      <formula>$A$43</formula>
    </cfRule>
  </conditionalFormatting>
  <conditionalFormatting sqref="AW9">
    <cfRule type="cellIs" dxfId="1717" priority="631" stopIfTrue="1" operator="equal">
      <formula>$A$43</formula>
    </cfRule>
  </conditionalFormatting>
  <conditionalFormatting sqref="AW9">
    <cfRule type="cellIs" dxfId="1716" priority="630" stopIfTrue="1" operator="equal">
      <formula>$A$43</formula>
    </cfRule>
  </conditionalFormatting>
  <conditionalFormatting sqref="AW9">
    <cfRule type="cellIs" dxfId="1715" priority="629" stopIfTrue="1" operator="equal">
      <formula>$A$43</formula>
    </cfRule>
  </conditionalFormatting>
  <conditionalFormatting sqref="DG11">
    <cfRule type="cellIs" dxfId="1714" priority="627" stopIfTrue="1" operator="equal">
      <formula>$A$42</formula>
    </cfRule>
  </conditionalFormatting>
  <conditionalFormatting sqref="I10:L10">
    <cfRule type="cellIs" dxfId="1713" priority="622" stopIfTrue="1" operator="equal">
      <formula>$B$42</formula>
    </cfRule>
  </conditionalFormatting>
  <conditionalFormatting sqref="BH16:BI16">
    <cfRule type="cellIs" dxfId="1712" priority="620" stopIfTrue="1" operator="equal">
      <formula>$A$43</formula>
    </cfRule>
  </conditionalFormatting>
  <conditionalFormatting sqref="BH22:BI22">
    <cfRule type="cellIs" dxfId="1711" priority="621" stopIfTrue="1" operator="equal">
      <formula>$A$42</formula>
    </cfRule>
  </conditionalFormatting>
  <conditionalFormatting sqref="DB17:DE17">
    <cfRule type="cellIs" dxfId="1710" priority="617" stopIfTrue="1" operator="equal">
      <formula>$A$42</formula>
    </cfRule>
  </conditionalFormatting>
  <conditionalFormatting sqref="DB16">
    <cfRule type="cellIs" dxfId="1709" priority="616" stopIfTrue="1" operator="equal">
      <formula>$A$42</formula>
    </cfRule>
  </conditionalFormatting>
  <conditionalFormatting sqref="DE18">
    <cfRule type="cellIs" dxfId="1708" priority="615" stopIfTrue="1" operator="equal">
      <formula>$A$42</formula>
    </cfRule>
  </conditionalFormatting>
  <conditionalFormatting sqref="DE21">
    <cfRule type="cellIs" dxfId="1707" priority="614" stopIfTrue="1" operator="equal">
      <formula>$A$42</formula>
    </cfRule>
  </conditionalFormatting>
  <conditionalFormatting sqref="DF17">
    <cfRule type="cellIs" dxfId="1706" priority="611" stopIfTrue="1" operator="equal">
      <formula>$A$42</formula>
    </cfRule>
  </conditionalFormatting>
  <conditionalFormatting sqref="DF17">
    <cfRule type="cellIs" dxfId="1705" priority="610" stopIfTrue="1" operator="equal">
      <formula>$A$42</formula>
    </cfRule>
  </conditionalFormatting>
  <conditionalFormatting sqref="DF17">
    <cfRule type="cellIs" dxfId="1704" priority="609" stopIfTrue="1" operator="equal">
      <formula>$A$42</formula>
    </cfRule>
  </conditionalFormatting>
  <conditionalFormatting sqref="DF18">
    <cfRule type="cellIs" dxfId="1703" priority="608" stopIfTrue="1" operator="equal">
      <formula>$A$42</formula>
    </cfRule>
  </conditionalFormatting>
  <conditionalFormatting sqref="DF21">
    <cfRule type="cellIs" dxfId="1702" priority="607" stopIfTrue="1" operator="equal">
      <formula>$A$42</formula>
    </cfRule>
  </conditionalFormatting>
  <conditionalFormatting sqref="DF17">
    <cfRule type="cellIs" dxfId="1701" priority="604" stopIfTrue="1" operator="equal">
      <formula>$A$42</formula>
    </cfRule>
  </conditionalFormatting>
  <conditionalFormatting sqref="DF17">
    <cfRule type="cellIs" dxfId="1700" priority="603" stopIfTrue="1" operator="equal">
      <formula>$A$42</formula>
    </cfRule>
  </conditionalFormatting>
  <conditionalFormatting sqref="DF18">
    <cfRule type="cellIs" dxfId="1699" priority="602" stopIfTrue="1" operator="equal">
      <formula>$A$42</formula>
    </cfRule>
  </conditionalFormatting>
  <conditionalFormatting sqref="DF21">
    <cfRule type="cellIs" dxfId="1698" priority="601" stopIfTrue="1" operator="equal">
      <formula>$A$42</formula>
    </cfRule>
  </conditionalFormatting>
  <conditionalFormatting sqref="DC16">
    <cfRule type="cellIs" dxfId="1697" priority="600" stopIfTrue="1" operator="equal">
      <formula>$A$42</formula>
    </cfRule>
  </conditionalFormatting>
  <conditionalFormatting sqref="DC17">
    <cfRule type="cellIs" dxfId="1696" priority="599" stopIfTrue="1" operator="equal">
      <formula>$A$42</formula>
    </cfRule>
  </conditionalFormatting>
  <conditionalFormatting sqref="DB20">
    <cfRule type="cellIs" dxfId="1695" priority="598" stopIfTrue="1" operator="equal">
      <formula>$A$43</formula>
    </cfRule>
  </conditionalFormatting>
  <conditionalFormatting sqref="DB20">
    <cfRule type="cellIs" dxfId="1694" priority="597" stopIfTrue="1" operator="equal">
      <formula>$A$43</formula>
    </cfRule>
  </conditionalFormatting>
  <conditionalFormatting sqref="DB20">
    <cfRule type="cellIs" dxfId="1693" priority="596" stopIfTrue="1" operator="equal">
      <formula>$A$43</formula>
    </cfRule>
  </conditionalFormatting>
  <conditionalFormatting sqref="DB20">
    <cfRule type="cellIs" dxfId="1692" priority="595" stopIfTrue="1" operator="equal">
      <formula>$A$43</formula>
    </cfRule>
  </conditionalFormatting>
  <conditionalFormatting sqref="DB20">
    <cfRule type="cellIs" dxfId="1691" priority="594" stopIfTrue="1" operator="equal">
      <formula>$A$43</formula>
    </cfRule>
  </conditionalFormatting>
  <conditionalFormatting sqref="DB20">
    <cfRule type="cellIs" dxfId="1690" priority="593" stopIfTrue="1" operator="equal">
      <formula>$A$43</formula>
    </cfRule>
  </conditionalFormatting>
  <conditionalFormatting sqref="DB20">
    <cfRule type="cellIs" dxfId="1689" priority="592" stopIfTrue="1" operator="equal">
      <formula>$A$43</formula>
    </cfRule>
  </conditionalFormatting>
  <conditionalFormatting sqref="DB20">
    <cfRule type="cellIs" dxfId="1688" priority="591" stopIfTrue="1" operator="equal">
      <formula>$A$43</formula>
    </cfRule>
  </conditionalFormatting>
  <conditionalFormatting sqref="DB20">
    <cfRule type="cellIs" dxfId="1687" priority="590" stopIfTrue="1" operator="equal">
      <formula>$A$43</formula>
    </cfRule>
  </conditionalFormatting>
  <conditionalFormatting sqref="DB20">
    <cfRule type="cellIs" dxfId="1686" priority="589" stopIfTrue="1" operator="equal">
      <formula>$A$43</formula>
    </cfRule>
  </conditionalFormatting>
  <conditionalFormatting sqref="DB20">
    <cfRule type="cellIs" dxfId="1685" priority="588" stopIfTrue="1" operator="equal">
      <formula>$A$43</formula>
    </cfRule>
  </conditionalFormatting>
  <conditionalFormatting sqref="DB20">
    <cfRule type="cellIs" dxfId="1684" priority="587" stopIfTrue="1" operator="equal">
      <formula>$A$43</formula>
    </cfRule>
  </conditionalFormatting>
  <conditionalFormatting sqref="DB20">
    <cfRule type="cellIs" dxfId="1683" priority="586" stopIfTrue="1" operator="equal">
      <formula>$A$43</formula>
    </cfRule>
  </conditionalFormatting>
  <conditionalFormatting sqref="DB20">
    <cfRule type="cellIs" dxfId="1682" priority="585" stopIfTrue="1" operator="equal">
      <formula>$A$43</formula>
    </cfRule>
  </conditionalFormatting>
  <conditionalFormatting sqref="DB20">
    <cfRule type="cellIs" dxfId="1681" priority="584" stopIfTrue="1" operator="equal">
      <formula>$A$43</formula>
    </cfRule>
  </conditionalFormatting>
  <conditionalFormatting sqref="DB20">
    <cfRule type="cellIs" dxfId="1680" priority="583" stopIfTrue="1" operator="equal">
      <formula>$A$43</formula>
    </cfRule>
  </conditionalFormatting>
  <conditionalFormatting sqref="DB20">
    <cfRule type="cellIs" dxfId="1679" priority="582" stopIfTrue="1" operator="equal">
      <formula>$A$43</formula>
    </cfRule>
  </conditionalFormatting>
  <conditionalFormatting sqref="DB20">
    <cfRule type="cellIs" dxfId="1678" priority="581" stopIfTrue="1" operator="equal">
      <formula>$A$43</formula>
    </cfRule>
  </conditionalFormatting>
  <conditionalFormatting sqref="DB20">
    <cfRule type="cellIs" dxfId="1677" priority="580" stopIfTrue="1" operator="equal">
      <formula>$A$43</formula>
    </cfRule>
  </conditionalFormatting>
  <conditionalFormatting sqref="DB20">
    <cfRule type="cellIs" dxfId="1676" priority="579" stopIfTrue="1" operator="equal">
      <formula>$A$43</formula>
    </cfRule>
  </conditionalFormatting>
  <conditionalFormatting sqref="DB20">
    <cfRule type="cellIs" dxfId="1675" priority="578" stopIfTrue="1" operator="equal">
      <formula>$A$43</formula>
    </cfRule>
  </conditionalFormatting>
  <conditionalFormatting sqref="DB20">
    <cfRule type="cellIs" dxfId="1674" priority="577" stopIfTrue="1" operator="equal">
      <formula>$A$43</formula>
    </cfRule>
  </conditionalFormatting>
  <conditionalFormatting sqref="DB20">
    <cfRule type="cellIs" dxfId="1673" priority="576" stopIfTrue="1" operator="equal">
      <formula>$A$43</formula>
    </cfRule>
  </conditionalFormatting>
  <conditionalFormatting sqref="DB20">
    <cfRule type="cellIs" dxfId="1672" priority="575" stopIfTrue="1" operator="equal">
      <formula>$A$43</formula>
    </cfRule>
  </conditionalFormatting>
  <conditionalFormatting sqref="DB20">
    <cfRule type="cellIs" dxfId="1671" priority="574" stopIfTrue="1" operator="equal">
      <formula>$A$43</formula>
    </cfRule>
  </conditionalFormatting>
  <conditionalFormatting sqref="DB20">
    <cfRule type="cellIs" dxfId="1670" priority="573" stopIfTrue="1" operator="equal">
      <formula>$A$43</formula>
    </cfRule>
  </conditionalFormatting>
  <conditionalFormatting sqref="DB20">
    <cfRule type="cellIs" dxfId="1669" priority="572" stopIfTrue="1" operator="equal">
      <formula>$A$43</formula>
    </cfRule>
  </conditionalFormatting>
  <conditionalFormatting sqref="DB20">
    <cfRule type="cellIs" dxfId="1668" priority="571" stopIfTrue="1" operator="equal">
      <formula>$A$43</formula>
    </cfRule>
  </conditionalFormatting>
  <conditionalFormatting sqref="DB20">
    <cfRule type="cellIs" dxfId="1667" priority="570" stopIfTrue="1" operator="equal">
      <formula>$A$43</formula>
    </cfRule>
  </conditionalFormatting>
  <conditionalFormatting sqref="DB20">
    <cfRule type="cellIs" dxfId="1666" priority="569" stopIfTrue="1" operator="equal">
      <formula>$A$43</formula>
    </cfRule>
  </conditionalFormatting>
  <conditionalFormatting sqref="DB20">
    <cfRule type="cellIs" dxfId="1665" priority="568" stopIfTrue="1" operator="equal">
      <formula>$A$42</formula>
    </cfRule>
  </conditionalFormatting>
  <conditionalFormatting sqref="AS16:AX22">
    <cfRule type="cellIs" dxfId="1664" priority="567" stopIfTrue="1" operator="equal">
      <formula>$A$41</formula>
    </cfRule>
  </conditionalFormatting>
  <conditionalFormatting sqref="DG16:DG22">
    <cfRule type="cellIs" dxfId="1663" priority="565" stopIfTrue="1" operator="equal">
      <formula>$A$43</formula>
    </cfRule>
  </conditionalFormatting>
  <conditionalFormatting sqref="DG17">
    <cfRule type="cellIs" dxfId="1662" priority="566" stopIfTrue="1" operator="equal">
      <formula>$A$42</formula>
    </cfRule>
  </conditionalFormatting>
  <conditionalFormatting sqref="DH19:DJ19">
    <cfRule type="cellIs" dxfId="1661" priority="564" stopIfTrue="1" operator="equal">
      <formula>$A$42</formula>
    </cfRule>
  </conditionalFormatting>
  <conditionalFormatting sqref="N22">
    <cfRule type="cellIs" dxfId="1660" priority="562" stopIfTrue="1" operator="equal">
      <formula>$A$42</formula>
    </cfRule>
  </conditionalFormatting>
  <conditionalFormatting sqref="DK19">
    <cfRule type="cellIs" dxfId="1659" priority="561" stopIfTrue="1" operator="equal">
      <formula>$A$42</formula>
    </cfRule>
  </conditionalFormatting>
  <conditionalFormatting sqref="DL19">
    <cfRule type="cellIs" dxfId="1658" priority="559" stopIfTrue="1" operator="equal">
      <formula>$A$42</formula>
    </cfRule>
  </conditionalFormatting>
  <conditionalFormatting sqref="BV16">
    <cfRule type="cellIs" dxfId="1657" priority="557" stopIfTrue="1" operator="equal">
      <formula>$A$42</formula>
    </cfRule>
  </conditionalFormatting>
  <conditionalFormatting sqref="BY18">
    <cfRule type="cellIs" dxfId="1656" priority="553" stopIfTrue="1" operator="equal">
      <formula>$A$42</formula>
    </cfRule>
  </conditionalFormatting>
  <conditionalFormatting sqref="AS28:AX29">
    <cfRule type="cellIs" dxfId="1655" priority="550" stopIfTrue="1" operator="equal">
      <formula>$A$41</formula>
    </cfRule>
  </conditionalFormatting>
  <conditionalFormatting sqref="DG28:DG29">
    <cfRule type="cellIs" dxfId="1654" priority="548" stopIfTrue="1" operator="equal">
      <formula>$A$43</formula>
    </cfRule>
  </conditionalFormatting>
  <conditionalFormatting sqref="DH28:DJ29">
    <cfRule type="cellIs" dxfId="1653" priority="546" stopIfTrue="1" operator="equal">
      <formula>$A$43</formula>
    </cfRule>
  </conditionalFormatting>
  <conditionalFormatting sqref="DK28:DK29">
    <cfRule type="cellIs" dxfId="1652" priority="544" stopIfTrue="1" operator="equal">
      <formula>$A$43</formula>
    </cfRule>
  </conditionalFormatting>
  <conditionalFormatting sqref="DL28:DL29">
    <cfRule type="cellIs" dxfId="1651" priority="542" stopIfTrue="1" operator="equal">
      <formula>$A$43</formula>
    </cfRule>
  </conditionalFormatting>
  <conditionalFormatting sqref="EB14:EG15">
    <cfRule type="cellIs" dxfId="1650" priority="500" stopIfTrue="1" operator="equal">
      <formula>$A$43</formula>
    </cfRule>
  </conditionalFormatting>
  <conditionalFormatting sqref="EB9:EG9">
    <cfRule type="cellIs" dxfId="1649" priority="496" stopIfTrue="1" operator="equal">
      <formula>$A$43</formula>
    </cfRule>
  </conditionalFormatting>
  <conditionalFormatting sqref="EB26:EG27">
    <cfRule type="cellIs" dxfId="1648" priority="497" stopIfTrue="1" operator="equal">
      <formula>$A$43</formula>
    </cfRule>
  </conditionalFormatting>
  <conditionalFormatting sqref="EB28:EG29">
    <cfRule type="cellIs" dxfId="1647" priority="494" stopIfTrue="1" operator="equal">
      <formula>$A$43</formula>
    </cfRule>
  </conditionalFormatting>
  <conditionalFormatting sqref="EB30:EG30">
    <cfRule type="cellIs" dxfId="1646" priority="491" stopIfTrue="1" operator="equal">
      <formula>$A$43</formula>
    </cfRule>
  </conditionalFormatting>
  <conditionalFormatting sqref="EB25:EG25">
    <cfRule type="cellIs" dxfId="1645" priority="487" stopIfTrue="1" operator="equal">
      <formula>$A$43</formula>
    </cfRule>
  </conditionalFormatting>
  <conditionalFormatting sqref="EH14:EJ15">
    <cfRule type="cellIs" dxfId="1644" priority="486" stopIfTrue="1" operator="equal">
      <formula>$A$43</formula>
    </cfRule>
  </conditionalFormatting>
  <conditionalFormatting sqref="EH9:EJ9">
    <cfRule type="cellIs" dxfId="1643" priority="482" stopIfTrue="1" operator="equal">
      <formula>$A$43</formula>
    </cfRule>
  </conditionalFormatting>
  <conditionalFormatting sqref="EH26:EJ27">
    <cfRule type="cellIs" dxfId="1642" priority="483" stopIfTrue="1" operator="equal">
      <formula>$A$43</formula>
    </cfRule>
  </conditionalFormatting>
  <conditionalFormatting sqref="EH28:EJ29">
    <cfRule type="cellIs" dxfId="1641" priority="480" stopIfTrue="1" operator="equal">
      <formula>$A$43</formula>
    </cfRule>
  </conditionalFormatting>
  <conditionalFormatting sqref="EH30:EJ30">
    <cfRule type="cellIs" dxfId="1640" priority="477" stopIfTrue="1" operator="equal">
      <formula>$A$43</formula>
    </cfRule>
  </conditionalFormatting>
  <conditionalFormatting sqref="EH25:EJ25">
    <cfRule type="cellIs" dxfId="1639" priority="473" stopIfTrue="1" operator="equal">
      <formula>$A$43</formula>
    </cfRule>
  </conditionalFormatting>
  <conditionalFormatting sqref="EA16">
    <cfRule type="cellIs" dxfId="1638" priority="472" stopIfTrue="1" operator="equal">
      <formula>$A$43</formula>
    </cfRule>
  </conditionalFormatting>
  <conditionalFormatting sqref="EJ16">
    <cfRule type="cellIs" dxfId="1637" priority="471" stopIfTrue="1" operator="equal">
      <formula>$A$43</formula>
    </cfRule>
  </conditionalFormatting>
  <conditionalFormatting sqref="EK8">
    <cfRule type="cellIs" dxfId="1636" priority="470" stopIfTrue="1" operator="equal">
      <formula>$A$43</formula>
    </cfRule>
  </conditionalFormatting>
  <conditionalFormatting sqref="EK14:EK15">
    <cfRule type="cellIs" dxfId="1635" priority="469" stopIfTrue="1" operator="equal">
      <formula>$A$43</formula>
    </cfRule>
  </conditionalFormatting>
  <conditionalFormatting sqref="EK9">
    <cfRule type="cellIs" dxfId="1634" priority="466" stopIfTrue="1" operator="equal">
      <formula>$A$43</formula>
    </cfRule>
  </conditionalFormatting>
  <conditionalFormatting sqref="EK26:EK27">
    <cfRule type="cellIs" dxfId="1633" priority="467" stopIfTrue="1" operator="equal">
      <formula>$A$43</formula>
    </cfRule>
  </conditionalFormatting>
  <conditionalFormatting sqref="EK28:EK29">
    <cfRule type="cellIs" dxfId="1632" priority="464" stopIfTrue="1" operator="equal">
      <formula>$A$43</formula>
    </cfRule>
  </conditionalFormatting>
  <conditionalFormatting sqref="EK30">
    <cfRule type="cellIs" dxfId="1631" priority="461" stopIfTrue="1" operator="equal">
      <formula>$A$43</formula>
    </cfRule>
  </conditionalFormatting>
  <conditionalFormatting sqref="EK25">
    <cfRule type="cellIs" dxfId="1630" priority="457" stopIfTrue="1" operator="equal">
      <formula>$A$43</formula>
    </cfRule>
  </conditionalFormatting>
  <conditionalFormatting sqref="EK16">
    <cfRule type="cellIs" dxfId="1629" priority="456" stopIfTrue="1" operator="equal">
      <formula>$A$43</formula>
    </cfRule>
  </conditionalFormatting>
  <conditionalFormatting sqref="EK22">
    <cfRule type="cellIs" dxfId="1628" priority="455" stopIfTrue="1" operator="equal">
      <formula>$A$43</formula>
    </cfRule>
  </conditionalFormatting>
  <conditionalFormatting sqref="EL17:EL21">
    <cfRule type="cellIs" dxfId="1627" priority="400" stopIfTrue="1" operator="equal">
      <formula>$A$43</formula>
    </cfRule>
  </conditionalFormatting>
  <conditionalFormatting sqref="EL23:EL24">
    <cfRule type="cellIs" dxfId="1626" priority="401" stopIfTrue="1" operator="equal">
      <formula>$A$43</formula>
    </cfRule>
  </conditionalFormatting>
  <conditionalFormatting sqref="EL8">
    <cfRule type="cellIs" dxfId="1625" priority="399" stopIfTrue="1" operator="equal">
      <formula>$A$43</formula>
    </cfRule>
  </conditionalFormatting>
  <conditionalFormatting sqref="EL14:EL15">
    <cfRule type="cellIs" dxfId="1624" priority="398" stopIfTrue="1" operator="equal">
      <formula>$A$43</formula>
    </cfRule>
  </conditionalFormatting>
  <conditionalFormatting sqref="EL26:EL27">
    <cfRule type="cellIs" dxfId="1623" priority="396" stopIfTrue="1" operator="equal">
      <formula>$A$43</formula>
    </cfRule>
  </conditionalFormatting>
  <conditionalFormatting sqref="EL28:EL29">
    <cfRule type="cellIs" dxfId="1622" priority="393" stopIfTrue="1" operator="equal">
      <formula>$A$43</formula>
    </cfRule>
  </conditionalFormatting>
  <conditionalFormatting sqref="EL30">
    <cfRule type="cellIs" dxfId="1621" priority="390" stopIfTrue="1" operator="equal">
      <formula>$A$43</formula>
    </cfRule>
  </conditionalFormatting>
  <conditionalFormatting sqref="EL25">
    <cfRule type="cellIs" dxfId="1620" priority="386" stopIfTrue="1" operator="equal">
      <formula>$A$43</formula>
    </cfRule>
  </conditionalFormatting>
  <conditionalFormatting sqref="EL16">
    <cfRule type="cellIs" dxfId="1619" priority="385" stopIfTrue="1" operator="equal">
      <formula>$A$43</formula>
    </cfRule>
  </conditionalFormatting>
  <conditionalFormatting sqref="EL22">
    <cfRule type="cellIs" dxfId="1618" priority="384" stopIfTrue="1" operator="equal">
      <formula>$A$43</formula>
    </cfRule>
  </conditionalFormatting>
  <conditionalFormatting sqref="EM17:EM21">
    <cfRule type="cellIs" dxfId="1617" priority="382" stopIfTrue="1" operator="equal">
      <formula>$A$43</formula>
    </cfRule>
  </conditionalFormatting>
  <conditionalFormatting sqref="EM23:EM24">
    <cfRule type="cellIs" dxfId="1616" priority="383" stopIfTrue="1" operator="equal">
      <formula>$A$43</formula>
    </cfRule>
  </conditionalFormatting>
  <conditionalFormatting sqref="EM8">
    <cfRule type="cellIs" dxfId="1615" priority="381" stopIfTrue="1" operator="equal">
      <formula>$A$43</formula>
    </cfRule>
  </conditionalFormatting>
  <conditionalFormatting sqref="EM14:EM15">
    <cfRule type="cellIs" dxfId="1614" priority="380" stopIfTrue="1" operator="equal">
      <formula>$A$43</formula>
    </cfRule>
  </conditionalFormatting>
  <conditionalFormatting sqref="EM26:EM27">
    <cfRule type="cellIs" dxfId="1613" priority="378" stopIfTrue="1" operator="equal">
      <formula>$A$43</formula>
    </cfRule>
  </conditionalFormatting>
  <conditionalFormatting sqref="EM28:EM29">
    <cfRule type="cellIs" dxfId="1612" priority="375" stopIfTrue="1" operator="equal">
      <formula>$A$43</formula>
    </cfRule>
  </conditionalFormatting>
  <conditionalFormatting sqref="EM30">
    <cfRule type="cellIs" dxfId="1611" priority="372" stopIfTrue="1" operator="equal">
      <formula>$A$43</formula>
    </cfRule>
  </conditionalFormatting>
  <conditionalFormatting sqref="EM25">
    <cfRule type="cellIs" dxfId="1610" priority="368" stopIfTrue="1" operator="equal">
      <formula>$A$43</formula>
    </cfRule>
  </conditionalFormatting>
  <conditionalFormatting sqref="EM16">
    <cfRule type="cellIs" dxfId="1609" priority="367" stopIfTrue="1" operator="equal">
      <formula>$A$43</formula>
    </cfRule>
  </conditionalFormatting>
  <conditionalFormatting sqref="EM22">
    <cfRule type="cellIs" dxfId="1608" priority="366" stopIfTrue="1" operator="equal">
      <formula>$A$43</formula>
    </cfRule>
  </conditionalFormatting>
  <conditionalFormatting sqref="EN17:EN21">
    <cfRule type="cellIs" dxfId="1607" priority="364" stopIfTrue="1" operator="equal">
      <formula>$A$43</formula>
    </cfRule>
  </conditionalFormatting>
  <conditionalFormatting sqref="EN23:EN24">
    <cfRule type="cellIs" dxfId="1606" priority="365" stopIfTrue="1" operator="equal">
      <formula>$A$43</formula>
    </cfRule>
  </conditionalFormatting>
  <conditionalFormatting sqref="EN8">
    <cfRule type="cellIs" dxfId="1605" priority="363" stopIfTrue="1" operator="equal">
      <formula>$A$43</formula>
    </cfRule>
  </conditionalFormatting>
  <conditionalFormatting sqref="EN14:EN15">
    <cfRule type="cellIs" dxfId="1604" priority="362" stopIfTrue="1" operator="equal">
      <formula>$A$43</formula>
    </cfRule>
  </conditionalFormatting>
  <conditionalFormatting sqref="EN9">
    <cfRule type="cellIs" dxfId="1603" priority="359" stopIfTrue="1" operator="equal">
      <formula>$A$43</formula>
    </cfRule>
  </conditionalFormatting>
  <conditionalFormatting sqref="EN26:EN27">
    <cfRule type="cellIs" dxfId="1602" priority="360" stopIfTrue="1" operator="equal">
      <formula>$A$43</formula>
    </cfRule>
  </conditionalFormatting>
  <conditionalFormatting sqref="EN28:EN29">
    <cfRule type="cellIs" dxfId="1601" priority="357" stopIfTrue="1" operator="equal">
      <formula>$A$43</formula>
    </cfRule>
  </conditionalFormatting>
  <conditionalFormatting sqref="EN30">
    <cfRule type="cellIs" dxfId="1600" priority="354" stopIfTrue="1" operator="equal">
      <formula>$A$43</formula>
    </cfRule>
  </conditionalFormatting>
  <conditionalFormatting sqref="EN25">
    <cfRule type="cellIs" dxfId="1599" priority="350" stopIfTrue="1" operator="equal">
      <formula>$A$43</formula>
    </cfRule>
  </conditionalFormatting>
  <conditionalFormatting sqref="EN16">
    <cfRule type="cellIs" dxfId="1598" priority="349" stopIfTrue="1" operator="equal">
      <formula>$A$43</formula>
    </cfRule>
  </conditionalFormatting>
  <conditionalFormatting sqref="EN22">
    <cfRule type="cellIs" dxfId="1597" priority="348" stopIfTrue="1" operator="equal">
      <formula>$A$43</formula>
    </cfRule>
  </conditionalFormatting>
  <conditionalFormatting sqref="EO25">
    <cfRule type="cellIs" dxfId="1596" priority="295" stopIfTrue="1" operator="equal">
      <formula>$A$43</formula>
    </cfRule>
  </conditionalFormatting>
  <conditionalFormatting sqref="EO26:EO27">
    <cfRule type="cellIs" dxfId="1595" priority="296" stopIfTrue="1" operator="equal">
      <formula>$A$43</formula>
    </cfRule>
  </conditionalFormatting>
  <conditionalFormatting sqref="EO26:EO27">
    <cfRule type="cellIs" dxfId="1594" priority="294" stopIfTrue="1" operator="equal">
      <formula>$A$43</formula>
    </cfRule>
  </conditionalFormatting>
  <conditionalFormatting sqref="EO13">
    <cfRule type="cellIs" dxfId="1593" priority="293" stopIfTrue="1" operator="equal">
      <formula>$A$43</formula>
    </cfRule>
  </conditionalFormatting>
  <conditionalFormatting sqref="EO13">
    <cfRule type="cellIs" dxfId="1592" priority="292" stopIfTrue="1" operator="equal">
      <formula>$A$43</formula>
    </cfRule>
  </conditionalFormatting>
  <conditionalFormatting sqref="EO13">
    <cfRule type="cellIs" dxfId="1591" priority="291" stopIfTrue="1" operator="equal">
      <formula>$A$43</formula>
    </cfRule>
  </conditionalFormatting>
  <conditionalFormatting sqref="EO13">
    <cfRule type="cellIs" dxfId="1590" priority="290" stopIfTrue="1" operator="equal">
      <formula>$A$43</formula>
    </cfRule>
  </conditionalFormatting>
  <conditionalFormatting sqref="EO13">
    <cfRule type="cellIs" dxfId="1589" priority="289" stopIfTrue="1" operator="equal">
      <formula>$A$43</formula>
    </cfRule>
  </conditionalFormatting>
  <conditionalFormatting sqref="EO13">
    <cfRule type="cellIs" dxfId="1588" priority="288" stopIfTrue="1" operator="equal">
      <formula>$A$43</formula>
    </cfRule>
  </conditionalFormatting>
  <conditionalFormatting sqref="EO17">
    <cfRule type="cellIs" dxfId="1587" priority="287" stopIfTrue="1" operator="equal">
      <formula>$A$42</formula>
    </cfRule>
  </conditionalFormatting>
  <conditionalFormatting sqref="EO16">
    <cfRule type="cellIs" dxfId="1586" priority="286" stopIfTrue="1" operator="equal">
      <formula>$A$42</formula>
    </cfRule>
  </conditionalFormatting>
  <conditionalFormatting sqref="EO20">
    <cfRule type="cellIs" dxfId="1585" priority="285" stopIfTrue="1" operator="equal">
      <formula>$A$43</formula>
    </cfRule>
  </conditionalFormatting>
  <conditionalFormatting sqref="EO20">
    <cfRule type="cellIs" dxfId="1584" priority="284" stopIfTrue="1" operator="equal">
      <formula>$A$43</formula>
    </cfRule>
  </conditionalFormatting>
  <conditionalFormatting sqref="EO20">
    <cfRule type="cellIs" dxfId="1583" priority="283" stopIfTrue="1" operator="equal">
      <formula>$A$43</formula>
    </cfRule>
  </conditionalFormatting>
  <conditionalFormatting sqref="EO20">
    <cfRule type="cellIs" dxfId="1582" priority="282" stopIfTrue="1" operator="equal">
      <formula>$A$43</formula>
    </cfRule>
  </conditionalFormatting>
  <conditionalFormatting sqref="EO20">
    <cfRule type="cellIs" dxfId="1581" priority="281" stopIfTrue="1" operator="equal">
      <formula>$A$43</formula>
    </cfRule>
  </conditionalFormatting>
  <conditionalFormatting sqref="EO20">
    <cfRule type="cellIs" dxfId="1580" priority="280" stopIfTrue="1" operator="equal">
      <formula>$A$43</formula>
    </cfRule>
  </conditionalFormatting>
  <conditionalFormatting sqref="EO20">
    <cfRule type="cellIs" dxfId="1579" priority="279" stopIfTrue="1" operator="equal">
      <formula>$A$43</formula>
    </cfRule>
  </conditionalFormatting>
  <conditionalFormatting sqref="EO20">
    <cfRule type="cellIs" dxfId="1578" priority="278" stopIfTrue="1" operator="equal">
      <formula>$A$43</formula>
    </cfRule>
  </conditionalFormatting>
  <conditionalFormatting sqref="EO20">
    <cfRule type="cellIs" dxfId="1577" priority="277" stopIfTrue="1" operator="equal">
      <formula>$A$43</formula>
    </cfRule>
  </conditionalFormatting>
  <conditionalFormatting sqref="EO20">
    <cfRule type="cellIs" dxfId="1576" priority="276" stopIfTrue="1" operator="equal">
      <formula>$A$43</formula>
    </cfRule>
  </conditionalFormatting>
  <conditionalFormatting sqref="EO20">
    <cfRule type="cellIs" dxfId="1575" priority="275" stopIfTrue="1" operator="equal">
      <formula>$A$43</formula>
    </cfRule>
  </conditionalFormatting>
  <conditionalFormatting sqref="EO20">
    <cfRule type="cellIs" dxfId="1574" priority="274" stopIfTrue="1" operator="equal">
      <formula>$A$43</formula>
    </cfRule>
  </conditionalFormatting>
  <conditionalFormatting sqref="EO20">
    <cfRule type="cellIs" dxfId="1573" priority="273" stopIfTrue="1" operator="equal">
      <formula>$A$43</formula>
    </cfRule>
  </conditionalFormatting>
  <conditionalFormatting sqref="EO20">
    <cfRule type="cellIs" dxfId="1572" priority="272" stopIfTrue="1" operator="equal">
      <formula>$A$43</formula>
    </cfRule>
  </conditionalFormatting>
  <conditionalFormatting sqref="EO20">
    <cfRule type="cellIs" dxfId="1571" priority="271" stopIfTrue="1" operator="equal">
      <formula>$A$43</formula>
    </cfRule>
  </conditionalFormatting>
  <conditionalFormatting sqref="EO20">
    <cfRule type="cellIs" dxfId="1570" priority="270" stopIfTrue="1" operator="equal">
      <formula>$A$43</formula>
    </cfRule>
  </conditionalFormatting>
  <conditionalFormatting sqref="EO20">
    <cfRule type="cellIs" dxfId="1569" priority="269" stopIfTrue="1" operator="equal">
      <formula>$A$43</formula>
    </cfRule>
  </conditionalFormatting>
  <conditionalFormatting sqref="EO20">
    <cfRule type="cellIs" dxfId="1568" priority="268" stopIfTrue="1" operator="equal">
      <formula>$A$43</formula>
    </cfRule>
  </conditionalFormatting>
  <conditionalFormatting sqref="EO20">
    <cfRule type="cellIs" dxfId="1567" priority="267" stopIfTrue="1" operator="equal">
      <formula>$A$43</formula>
    </cfRule>
  </conditionalFormatting>
  <conditionalFormatting sqref="EO20">
    <cfRule type="cellIs" dxfId="1566" priority="266" stopIfTrue="1" operator="equal">
      <formula>$A$43</formula>
    </cfRule>
  </conditionalFormatting>
  <conditionalFormatting sqref="EO20">
    <cfRule type="cellIs" dxfId="1565" priority="265" stopIfTrue="1" operator="equal">
      <formula>$A$43</formula>
    </cfRule>
  </conditionalFormatting>
  <conditionalFormatting sqref="EO20">
    <cfRule type="cellIs" dxfId="1564" priority="264" stopIfTrue="1" operator="equal">
      <formula>$A$43</formula>
    </cfRule>
  </conditionalFormatting>
  <conditionalFormatting sqref="EO20">
    <cfRule type="cellIs" dxfId="1563" priority="263" stopIfTrue="1" operator="equal">
      <formula>$A$43</formula>
    </cfRule>
  </conditionalFormatting>
  <conditionalFormatting sqref="EO20">
    <cfRule type="cellIs" dxfId="1562" priority="262" stopIfTrue="1" operator="equal">
      <formula>$A$43</formula>
    </cfRule>
  </conditionalFormatting>
  <conditionalFormatting sqref="EO20">
    <cfRule type="cellIs" dxfId="1561" priority="261" stopIfTrue="1" operator="equal">
      <formula>$A$43</formula>
    </cfRule>
  </conditionalFormatting>
  <conditionalFormatting sqref="EO20">
    <cfRule type="cellIs" dxfId="1560" priority="260" stopIfTrue="1" operator="equal">
      <formula>$A$43</formula>
    </cfRule>
  </conditionalFormatting>
  <conditionalFormatting sqref="EO20">
    <cfRule type="cellIs" dxfId="1559" priority="259" stopIfTrue="1" operator="equal">
      <formula>$A$43</formula>
    </cfRule>
  </conditionalFormatting>
  <conditionalFormatting sqref="EO20">
    <cfRule type="cellIs" dxfId="1558" priority="258" stopIfTrue="1" operator="equal">
      <formula>$A$43</formula>
    </cfRule>
  </conditionalFormatting>
  <conditionalFormatting sqref="EO20">
    <cfRule type="cellIs" dxfId="1557" priority="257" stopIfTrue="1" operator="equal">
      <formula>$A$43</formula>
    </cfRule>
  </conditionalFormatting>
  <conditionalFormatting sqref="EO20">
    <cfRule type="cellIs" dxfId="1556" priority="256" stopIfTrue="1" operator="equal">
      <formula>$A$43</formula>
    </cfRule>
  </conditionalFormatting>
  <conditionalFormatting sqref="EO20">
    <cfRule type="cellIs" dxfId="1555" priority="255" stopIfTrue="1" operator="equal">
      <formula>$A$42</formula>
    </cfRule>
  </conditionalFormatting>
  <conditionalFormatting sqref="EP25">
    <cfRule type="cellIs" dxfId="1554" priority="249" stopIfTrue="1" operator="equal">
      <formula>$A$43</formula>
    </cfRule>
  </conditionalFormatting>
  <conditionalFormatting sqref="EP26:EP27">
    <cfRule type="cellIs" dxfId="1553" priority="250" stopIfTrue="1" operator="equal">
      <formula>$A$43</formula>
    </cfRule>
  </conditionalFormatting>
  <conditionalFormatting sqref="EP26:EP27">
    <cfRule type="cellIs" dxfId="1552" priority="248" stopIfTrue="1" operator="equal">
      <formula>$A$43</formula>
    </cfRule>
  </conditionalFormatting>
  <conditionalFormatting sqref="EP13">
    <cfRule type="cellIs" dxfId="1551" priority="247" stopIfTrue="1" operator="equal">
      <formula>$A$43</formula>
    </cfRule>
  </conditionalFormatting>
  <conditionalFormatting sqref="EP13">
    <cfRule type="cellIs" dxfId="1550" priority="246" stopIfTrue="1" operator="equal">
      <formula>$A$43</formula>
    </cfRule>
  </conditionalFormatting>
  <conditionalFormatting sqref="EP13">
    <cfRule type="cellIs" dxfId="1549" priority="245" stopIfTrue="1" operator="equal">
      <formula>$A$43</formula>
    </cfRule>
  </conditionalFormatting>
  <conditionalFormatting sqref="EP13">
    <cfRule type="cellIs" dxfId="1548" priority="244" stopIfTrue="1" operator="equal">
      <formula>$A$43</formula>
    </cfRule>
  </conditionalFormatting>
  <conditionalFormatting sqref="EP13">
    <cfRule type="cellIs" dxfId="1547" priority="243" stopIfTrue="1" operator="equal">
      <formula>$A$43</formula>
    </cfRule>
  </conditionalFormatting>
  <conditionalFormatting sqref="EP13">
    <cfRule type="cellIs" dxfId="1546" priority="242" stopIfTrue="1" operator="equal">
      <formula>$A$43</formula>
    </cfRule>
  </conditionalFormatting>
  <conditionalFormatting sqref="EP17">
    <cfRule type="cellIs" dxfId="1545" priority="241" stopIfTrue="1" operator="equal">
      <formula>$A$42</formula>
    </cfRule>
  </conditionalFormatting>
  <conditionalFormatting sqref="EP16">
    <cfRule type="cellIs" dxfId="1544" priority="240" stopIfTrue="1" operator="equal">
      <formula>$A$42</formula>
    </cfRule>
  </conditionalFormatting>
  <conditionalFormatting sqref="EP20">
    <cfRule type="cellIs" dxfId="1543" priority="239" stopIfTrue="1" operator="equal">
      <formula>$A$43</formula>
    </cfRule>
  </conditionalFormatting>
  <conditionalFormatting sqref="EP20">
    <cfRule type="cellIs" dxfId="1542" priority="238" stopIfTrue="1" operator="equal">
      <formula>$A$43</formula>
    </cfRule>
  </conditionalFormatting>
  <conditionalFormatting sqref="EP20">
    <cfRule type="cellIs" dxfId="1541" priority="237" stopIfTrue="1" operator="equal">
      <formula>$A$43</formula>
    </cfRule>
  </conditionalFormatting>
  <conditionalFormatting sqref="EP20">
    <cfRule type="cellIs" dxfId="1540" priority="236" stopIfTrue="1" operator="equal">
      <formula>$A$43</formula>
    </cfRule>
  </conditionalFormatting>
  <conditionalFormatting sqref="EP20">
    <cfRule type="cellIs" dxfId="1539" priority="235" stopIfTrue="1" operator="equal">
      <formula>$A$43</formula>
    </cfRule>
  </conditionalFormatting>
  <conditionalFormatting sqref="EP20">
    <cfRule type="cellIs" dxfId="1538" priority="234" stopIfTrue="1" operator="equal">
      <formula>$A$43</formula>
    </cfRule>
  </conditionalFormatting>
  <conditionalFormatting sqref="EP20">
    <cfRule type="cellIs" dxfId="1537" priority="233" stopIfTrue="1" operator="equal">
      <formula>$A$43</formula>
    </cfRule>
  </conditionalFormatting>
  <conditionalFormatting sqref="EP20">
    <cfRule type="cellIs" dxfId="1536" priority="232" stopIfTrue="1" operator="equal">
      <formula>$A$43</formula>
    </cfRule>
  </conditionalFormatting>
  <conditionalFormatting sqref="EP20">
    <cfRule type="cellIs" dxfId="1535" priority="231" stopIfTrue="1" operator="equal">
      <formula>$A$43</formula>
    </cfRule>
  </conditionalFormatting>
  <conditionalFormatting sqref="EP20">
    <cfRule type="cellIs" dxfId="1534" priority="230" stopIfTrue="1" operator="equal">
      <formula>$A$43</formula>
    </cfRule>
  </conditionalFormatting>
  <conditionalFormatting sqref="EP20">
    <cfRule type="cellIs" dxfId="1533" priority="229" stopIfTrue="1" operator="equal">
      <formula>$A$43</formula>
    </cfRule>
  </conditionalFormatting>
  <conditionalFormatting sqref="EP20">
    <cfRule type="cellIs" dxfId="1532" priority="228" stopIfTrue="1" operator="equal">
      <formula>$A$43</formula>
    </cfRule>
  </conditionalFormatting>
  <conditionalFormatting sqref="EP20">
    <cfRule type="cellIs" dxfId="1531" priority="227" stopIfTrue="1" operator="equal">
      <formula>$A$43</formula>
    </cfRule>
  </conditionalFormatting>
  <conditionalFormatting sqref="EP20">
    <cfRule type="cellIs" dxfId="1530" priority="226" stopIfTrue="1" operator="equal">
      <formula>$A$43</formula>
    </cfRule>
  </conditionalFormatting>
  <conditionalFormatting sqref="EP20">
    <cfRule type="cellIs" dxfId="1529" priority="225" stopIfTrue="1" operator="equal">
      <formula>$A$43</formula>
    </cfRule>
  </conditionalFormatting>
  <conditionalFormatting sqref="EP20">
    <cfRule type="cellIs" dxfId="1528" priority="224" stopIfTrue="1" operator="equal">
      <formula>$A$43</formula>
    </cfRule>
  </conditionalFormatting>
  <conditionalFormatting sqref="EP20">
    <cfRule type="cellIs" dxfId="1527" priority="223" stopIfTrue="1" operator="equal">
      <formula>$A$43</formula>
    </cfRule>
  </conditionalFormatting>
  <conditionalFormatting sqref="EP20">
    <cfRule type="cellIs" dxfId="1526" priority="222" stopIfTrue="1" operator="equal">
      <formula>$A$43</formula>
    </cfRule>
  </conditionalFormatting>
  <conditionalFormatting sqref="EP20">
    <cfRule type="cellIs" dxfId="1525" priority="221" stopIfTrue="1" operator="equal">
      <formula>$A$43</formula>
    </cfRule>
  </conditionalFormatting>
  <conditionalFormatting sqref="EP20">
    <cfRule type="cellIs" dxfId="1524" priority="220" stopIfTrue="1" operator="equal">
      <formula>$A$43</formula>
    </cfRule>
  </conditionalFormatting>
  <conditionalFormatting sqref="EP20">
    <cfRule type="cellIs" dxfId="1523" priority="219" stopIfTrue="1" operator="equal">
      <formula>$A$43</formula>
    </cfRule>
  </conditionalFormatting>
  <conditionalFormatting sqref="EP20">
    <cfRule type="cellIs" dxfId="1522" priority="218" stopIfTrue="1" operator="equal">
      <formula>$A$43</formula>
    </cfRule>
  </conditionalFormatting>
  <conditionalFormatting sqref="EP20">
    <cfRule type="cellIs" dxfId="1521" priority="217" stopIfTrue="1" operator="equal">
      <formula>$A$43</formula>
    </cfRule>
  </conditionalFormatting>
  <conditionalFormatting sqref="EP20">
    <cfRule type="cellIs" dxfId="1520" priority="216" stopIfTrue="1" operator="equal">
      <formula>$A$43</formula>
    </cfRule>
  </conditionalFormatting>
  <conditionalFormatting sqref="EP20">
    <cfRule type="cellIs" dxfId="1519" priority="215" stopIfTrue="1" operator="equal">
      <formula>$A$43</formula>
    </cfRule>
  </conditionalFormatting>
  <conditionalFormatting sqref="EP20">
    <cfRule type="cellIs" dxfId="1518" priority="214" stopIfTrue="1" operator="equal">
      <formula>$A$43</formula>
    </cfRule>
  </conditionalFormatting>
  <conditionalFormatting sqref="EP20">
    <cfRule type="cellIs" dxfId="1517" priority="213" stopIfTrue="1" operator="equal">
      <formula>$A$43</formula>
    </cfRule>
  </conditionalFormatting>
  <conditionalFormatting sqref="EP20">
    <cfRule type="cellIs" dxfId="1516" priority="212" stopIfTrue="1" operator="equal">
      <formula>$A$43</formula>
    </cfRule>
  </conditionalFormatting>
  <conditionalFormatting sqref="EP20">
    <cfRule type="cellIs" dxfId="1515" priority="211" stopIfTrue="1" operator="equal">
      <formula>$A$43</formula>
    </cfRule>
  </conditionalFormatting>
  <conditionalFormatting sqref="EP20">
    <cfRule type="cellIs" dxfId="1514" priority="210" stopIfTrue="1" operator="equal">
      <formula>$A$43</formula>
    </cfRule>
  </conditionalFormatting>
  <conditionalFormatting sqref="EP20">
    <cfRule type="cellIs" dxfId="1513" priority="209" stopIfTrue="1" operator="equal">
      <formula>$A$42</formula>
    </cfRule>
  </conditionalFormatting>
  <conditionalFormatting sqref="EQ25">
    <cfRule type="cellIs" dxfId="1512" priority="203" stopIfTrue="1" operator="equal">
      <formula>$A$43</formula>
    </cfRule>
  </conditionalFormatting>
  <conditionalFormatting sqref="EQ26:EQ27">
    <cfRule type="cellIs" dxfId="1511" priority="204" stopIfTrue="1" operator="equal">
      <formula>$A$43</formula>
    </cfRule>
  </conditionalFormatting>
  <conditionalFormatting sqref="EQ26:EQ27">
    <cfRule type="cellIs" dxfId="1510" priority="202" stopIfTrue="1" operator="equal">
      <formula>$A$43</formula>
    </cfRule>
  </conditionalFormatting>
  <conditionalFormatting sqref="EQ13">
    <cfRule type="cellIs" dxfId="1509" priority="201" stopIfTrue="1" operator="equal">
      <formula>$A$43</formula>
    </cfRule>
  </conditionalFormatting>
  <conditionalFormatting sqref="EQ13">
    <cfRule type="cellIs" dxfId="1508" priority="200" stopIfTrue="1" operator="equal">
      <formula>$A$43</formula>
    </cfRule>
  </conditionalFormatting>
  <conditionalFormatting sqref="EQ13">
    <cfRule type="cellIs" dxfId="1507" priority="199" stopIfTrue="1" operator="equal">
      <formula>$A$43</formula>
    </cfRule>
  </conditionalFormatting>
  <conditionalFormatting sqref="EQ13">
    <cfRule type="cellIs" dxfId="1506" priority="198" stopIfTrue="1" operator="equal">
      <formula>$A$43</formula>
    </cfRule>
  </conditionalFormatting>
  <conditionalFormatting sqref="EQ13">
    <cfRule type="cellIs" dxfId="1505" priority="197" stopIfTrue="1" operator="equal">
      <formula>$A$43</formula>
    </cfRule>
  </conditionalFormatting>
  <conditionalFormatting sqref="EQ13">
    <cfRule type="cellIs" dxfId="1504" priority="196" stopIfTrue="1" operator="equal">
      <formula>$A$43</formula>
    </cfRule>
  </conditionalFormatting>
  <conditionalFormatting sqref="EQ17">
    <cfRule type="cellIs" dxfId="1503" priority="195" stopIfTrue="1" operator="equal">
      <formula>$A$42</formula>
    </cfRule>
  </conditionalFormatting>
  <conditionalFormatting sqref="EQ16">
    <cfRule type="cellIs" dxfId="1502" priority="194" stopIfTrue="1" operator="equal">
      <formula>$A$42</formula>
    </cfRule>
  </conditionalFormatting>
  <conditionalFormatting sqref="EQ20">
    <cfRule type="cellIs" dxfId="1501" priority="193" stopIfTrue="1" operator="equal">
      <formula>$A$43</formula>
    </cfRule>
  </conditionalFormatting>
  <conditionalFormatting sqref="EQ20">
    <cfRule type="cellIs" dxfId="1500" priority="192" stopIfTrue="1" operator="equal">
      <formula>$A$43</formula>
    </cfRule>
  </conditionalFormatting>
  <conditionalFormatting sqref="EQ20">
    <cfRule type="cellIs" dxfId="1499" priority="191" stopIfTrue="1" operator="equal">
      <formula>$A$43</formula>
    </cfRule>
  </conditionalFormatting>
  <conditionalFormatting sqref="EQ20">
    <cfRule type="cellIs" dxfId="1498" priority="190" stopIfTrue="1" operator="equal">
      <formula>$A$43</formula>
    </cfRule>
  </conditionalFormatting>
  <conditionalFormatting sqref="EQ20">
    <cfRule type="cellIs" dxfId="1497" priority="189" stopIfTrue="1" operator="equal">
      <formula>$A$43</formula>
    </cfRule>
  </conditionalFormatting>
  <conditionalFormatting sqref="EQ20">
    <cfRule type="cellIs" dxfId="1496" priority="188" stopIfTrue="1" operator="equal">
      <formula>$A$43</formula>
    </cfRule>
  </conditionalFormatting>
  <conditionalFormatting sqref="EQ20">
    <cfRule type="cellIs" dxfId="1495" priority="187" stopIfTrue="1" operator="equal">
      <formula>$A$43</formula>
    </cfRule>
  </conditionalFormatting>
  <conditionalFormatting sqref="EQ20">
    <cfRule type="cellIs" dxfId="1494" priority="186" stopIfTrue="1" operator="equal">
      <formula>$A$43</formula>
    </cfRule>
  </conditionalFormatting>
  <conditionalFormatting sqref="EQ20">
    <cfRule type="cellIs" dxfId="1493" priority="185" stopIfTrue="1" operator="equal">
      <formula>$A$43</formula>
    </cfRule>
  </conditionalFormatting>
  <conditionalFormatting sqref="EQ20">
    <cfRule type="cellIs" dxfId="1492" priority="184" stopIfTrue="1" operator="equal">
      <formula>$A$43</formula>
    </cfRule>
  </conditionalFormatting>
  <conditionalFormatting sqref="EQ20">
    <cfRule type="cellIs" dxfId="1491" priority="183" stopIfTrue="1" operator="equal">
      <formula>$A$43</formula>
    </cfRule>
  </conditionalFormatting>
  <conditionalFormatting sqref="EQ20">
    <cfRule type="cellIs" dxfId="1490" priority="182" stopIfTrue="1" operator="equal">
      <formula>$A$43</formula>
    </cfRule>
  </conditionalFormatting>
  <conditionalFormatting sqref="EQ20">
    <cfRule type="cellIs" dxfId="1489" priority="181" stopIfTrue="1" operator="equal">
      <formula>$A$43</formula>
    </cfRule>
  </conditionalFormatting>
  <conditionalFormatting sqref="EQ20">
    <cfRule type="cellIs" dxfId="1488" priority="180" stopIfTrue="1" operator="equal">
      <formula>$A$43</formula>
    </cfRule>
  </conditionalFormatting>
  <conditionalFormatting sqref="EQ20">
    <cfRule type="cellIs" dxfId="1487" priority="179" stopIfTrue="1" operator="equal">
      <formula>$A$43</formula>
    </cfRule>
  </conditionalFormatting>
  <conditionalFormatting sqref="EQ20">
    <cfRule type="cellIs" dxfId="1486" priority="178" stopIfTrue="1" operator="equal">
      <formula>$A$43</formula>
    </cfRule>
  </conditionalFormatting>
  <conditionalFormatting sqref="EQ20">
    <cfRule type="cellIs" dxfId="1485" priority="177" stopIfTrue="1" operator="equal">
      <formula>$A$43</formula>
    </cfRule>
  </conditionalFormatting>
  <conditionalFormatting sqref="EQ20">
    <cfRule type="cellIs" dxfId="1484" priority="176" stopIfTrue="1" operator="equal">
      <formula>$A$43</formula>
    </cfRule>
  </conditionalFormatting>
  <conditionalFormatting sqref="EQ20">
    <cfRule type="cellIs" dxfId="1483" priority="175" stopIfTrue="1" operator="equal">
      <formula>$A$43</formula>
    </cfRule>
  </conditionalFormatting>
  <conditionalFormatting sqref="EQ20">
    <cfRule type="cellIs" dxfId="1482" priority="174" stopIfTrue="1" operator="equal">
      <formula>$A$43</formula>
    </cfRule>
  </conditionalFormatting>
  <conditionalFormatting sqref="EQ20">
    <cfRule type="cellIs" dxfId="1481" priority="173" stopIfTrue="1" operator="equal">
      <formula>$A$43</formula>
    </cfRule>
  </conditionalFormatting>
  <conditionalFormatting sqref="EQ20">
    <cfRule type="cellIs" dxfId="1480" priority="172" stopIfTrue="1" operator="equal">
      <formula>$A$43</formula>
    </cfRule>
  </conditionalFormatting>
  <conditionalFormatting sqref="EQ20">
    <cfRule type="cellIs" dxfId="1479" priority="171" stopIfTrue="1" operator="equal">
      <formula>$A$43</formula>
    </cfRule>
  </conditionalFormatting>
  <conditionalFormatting sqref="EQ20">
    <cfRule type="cellIs" dxfId="1478" priority="170" stopIfTrue="1" operator="equal">
      <formula>$A$43</formula>
    </cfRule>
  </conditionalFormatting>
  <conditionalFormatting sqref="EQ20">
    <cfRule type="cellIs" dxfId="1477" priority="169" stopIfTrue="1" operator="equal">
      <formula>$A$43</formula>
    </cfRule>
  </conditionalFormatting>
  <conditionalFormatting sqref="EQ20">
    <cfRule type="cellIs" dxfId="1476" priority="168" stopIfTrue="1" operator="equal">
      <formula>$A$43</formula>
    </cfRule>
  </conditionalFormatting>
  <conditionalFormatting sqref="EQ20">
    <cfRule type="cellIs" dxfId="1475" priority="167" stopIfTrue="1" operator="equal">
      <formula>$A$43</formula>
    </cfRule>
  </conditionalFormatting>
  <conditionalFormatting sqref="EQ20">
    <cfRule type="cellIs" dxfId="1474" priority="166" stopIfTrue="1" operator="equal">
      <formula>$A$43</formula>
    </cfRule>
  </conditionalFormatting>
  <conditionalFormatting sqref="EQ20">
    <cfRule type="cellIs" dxfId="1473" priority="165" stopIfTrue="1" operator="equal">
      <formula>$A$43</formula>
    </cfRule>
  </conditionalFormatting>
  <conditionalFormatting sqref="EQ20">
    <cfRule type="cellIs" dxfId="1472" priority="164" stopIfTrue="1" operator="equal">
      <formula>$A$43</formula>
    </cfRule>
  </conditionalFormatting>
  <conditionalFormatting sqref="EQ20">
    <cfRule type="cellIs" dxfId="1471" priority="163" stopIfTrue="1" operator="equal">
      <formula>$A$42</formula>
    </cfRule>
  </conditionalFormatting>
  <conditionalFormatting sqref="ER8">
    <cfRule type="cellIs" dxfId="1470" priority="110" stopIfTrue="1" operator="equal">
      <formula>$A$43</formula>
    </cfRule>
  </conditionalFormatting>
  <conditionalFormatting sqref="ER15">
    <cfRule type="cellIs" dxfId="1469" priority="109" stopIfTrue="1" operator="equal">
      <formula>$A$43</formula>
    </cfRule>
  </conditionalFormatting>
  <conditionalFormatting sqref="ER24">
    <cfRule type="cellIs" dxfId="1468" priority="108" stopIfTrue="1" operator="equal">
      <formula>$A$43</formula>
    </cfRule>
  </conditionalFormatting>
  <conditionalFormatting sqref="ER27">
    <cfRule type="cellIs" dxfId="1467" priority="107" stopIfTrue="1" operator="equal">
      <formula>$A$43</formula>
    </cfRule>
  </conditionalFormatting>
  <conditionalFormatting sqref="ES8">
    <cfRule type="cellIs" dxfId="1466" priority="104" stopIfTrue="1" operator="equal">
      <formula>$A$43</formula>
    </cfRule>
  </conditionalFormatting>
  <conditionalFormatting sqref="ES15">
    <cfRule type="cellIs" dxfId="1465" priority="103" stopIfTrue="1" operator="equal">
      <formula>$A$43</formula>
    </cfRule>
  </conditionalFormatting>
  <conditionalFormatting sqref="ES24">
    <cfRule type="cellIs" dxfId="1464" priority="102" stopIfTrue="1" operator="equal">
      <formula>$A$43</formula>
    </cfRule>
  </conditionalFormatting>
  <conditionalFormatting sqref="ES27">
    <cfRule type="cellIs" dxfId="1463" priority="101" stopIfTrue="1" operator="equal">
      <formula>$A$43</formula>
    </cfRule>
  </conditionalFormatting>
  <conditionalFormatting sqref="ES9">
    <cfRule type="cellIs" dxfId="1462" priority="97" stopIfTrue="1" operator="equal">
      <formula>$A$43</formula>
    </cfRule>
  </conditionalFormatting>
  <conditionalFormatting sqref="ES11">
    <cfRule type="cellIs" dxfId="1461" priority="98" stopIfTrue="1" operator="equal">
      <formula>$A$42</formula>
    </cfRule>
  </conditionalFormatting>
  <conditionalFormatting sqref="ES13">
    <cfRule type="cellIs" dxfId="1460" priority="96" stopIfTrue="1" operator="equal">
      <formula>$A$43</formula>
    </cfRule>
  </conditionalFormatting>
  <conditionalFormatting sqref="ES13">
    <cfRule type="cellIs" dxfId="1459" priority="95" stopIfTrue="1" operator="equal">
      <formula>$A$43</formula>
    </cfRule>
  </conditionalFormatting>
  <conditionalFormatting sqref="ES13">
    <cfRule type="cellIs" dxfId="1458" priority="94" stopIfTrue="1" operator="equal">
      <formula>$A$43</formula>
    </cfRule>
  </conditionalFormatting>
  <conditionalFormatting sqref="ES13">
    <cfRule type="cellIs" dxfId="1457" priority="93" stopIfTrue="1" operator="equal">
      <formula>$A$43</formula>
    </cfRule>
  </conditionalFormatting>
  <conditionalFormatting sqref="ES13">
    <cfRule type="cellIs" dxfId="1456" priority="92" stopIfTrue="1" operator="equal">
      <formula>$A$43</formula>
    </cfRule>
  </conditionalFormatting>
  <conditionalFormatting sqref="ES13">
    <cfRule type="cellIs" dxfId="1455" priority="91" stopIfTrue="1" operator="equal">
      <formula>$A$43</formula>
    </cfRule>
  </conditionalFormatting>
  <conditionalFormatting sqref="ES16:ES22">
    <cfRule type="cellIs" dxfId="1454" priority="89" stopIfTrue="1" operator="equal">
      <formula>$A$43</formula>
    </cfRule>
  </conditionalFormatting>
  <conditionalFormatting sqref="ES17">
    <cfRule type="cellIs" dxfId="1453" priority="90" stopIfTrue="1" operator="equal">
      <formula>$A$42</formula>
    </cfRule>
  </conditionalFormatting>
  <conditionalFormatting sqref="ES17">
    <cfRule type="cellIs" dxfId="1452" priority="88" stopIfTrue="1" operator="equal">
      <formula>$A$42</formula>
    </cfRule>
  </conditionalFormatting>
  <conditionalFormatting sqref="ES16">
    <cfRule type="cellIs" dxfId="1451" priority="87" stopIfTrue="1" operator="equal">
      <formula>$A$42</formula>
    </cfRule>
  </conditionalFormatting>
  <conditionalFormatting sqref="ES20">
    <cfRule type="cellIs" dxfId="1450" priority="86" stopIfTrue="1" operator="equal">
      <formula>$A$43</formula>
    </cfRule>
  </conditionalFormatting>
  <conditionalFormatting sqref="ES20">
    <cfRule type="cellIs" dxfId="1449" priority="85" stopIfTrue="1" operator="equal">
      <formula>$A$43</formula>
    </cfRule>
  </conditionalFormatting>
  <conditionalFormatting sqref="ES20">
    <cfRule type="cellIs" dxfId="1448" priority="84" stopIfTrue="1" operator="equal">
      <formula>$A$43</formula>
    </cfRule>
  </conditionalFormatting>
  <conditionalFormatting sqref="ES20">
    <cfRule type="cellIs" dxfId="1447" priority="83" stopIfTrue="1" operator="equal">
      <formula>$A$43</formula>
    </cfRule>
  </conditionalFormatting>
  <conditionalFormatting sqref="ES20">
    <cfRule type="cellIs" dxfId="1446" priority="82" stopIfTrue="1" operator="equal">
      <formula>$A$43</formula>
    </cfRule>
  </conditionalFormatting>
  <conditionalFormatting sqref="ES20">
    <cfRule type="cellIs" dxfId="1445" priority="81" stopIfTrue="1" operator="equal">
      <formula>$A$43</formula>
    </cfRule>
  </conditionalFormatting>
  <conditionalFormatting sqref="ES20">
    <cfRule type="cellIs" dxfId="1444" priority="80" stopIfTrue="1" operator="equal">
      <formula>$A$43</formula>
    </cfRule>
  </conditionalFormatting>
  <conditionalFormatting sqref="ES20">
    <cfRule type="cellIs" dxfId="1443" priority="79" stopIfTrue="1" operator="equal">
      <formula>$A$43</formula>
    </cfRule>
  </conditionalFormatting>
  <conditionalFormatting sqref="ES20">
    <cfRule type="cellIs" dxfId="1442" priority="78" stopIfTrue="1" operator="equal">
      <formula>$A$43</formula>
    </cfRule>
  </conditionalFormatting>
  <conditionalFormatting sqref="ES20">
    <cfRule type="cellIs" dxfId="1441" priority="77" stopIfTrue="1" operator="equal">
      <formula>$A$43</formula>
    </cfRule>
  </conditionalFormatting>
  <conditionalFormatting sqref="ES20">
    <cfRule type="cellIs" dxfId="1440" priority="76" stopIfTrue="1" operator="equal">
      <formula>$A$43</formula>
    </cfRule>
  </conditionalFormatting>
  <conditionalFormatting sqref="ES20">
    <cfRule type="cellIs" dxfId="1439" priority="75" stopIfTrue="1" operator="equal">
      <formula>$A$43</formula>
    </cfRule>
  </conditionalFormatting>
  <conditionalFormatting sqref="ES20">
    <cfRule type="cellIs" dxfId="1438" priority="74" stopIfTrue="1" operator="equal">
      <formula>$A$43</formula>
    </cfRule>
  </conditionalFormatting>
  <conditionalFormatting sqref="ES20">
    <cfRule type="cellIs" dxfId="1437" priority="73" stopIfTrue="1" operator="equal">
      <formula>$A$43</formula>
    </cfRule>
  </conditionalFormatting>
  <conditionalFormatting sqref="ES20">
    <cfRule type="cellIs" dxfId="1436" priority="72" stopIfTrue="1" operator="equal">
      <formula>$A$43</formula>
    </cfRule>
  </conditionalFormatting>
  <conditionalFormatting sqref="ES20">
    <cfRule type="cellIs" dxfId="1435" priority="71" stopIfTrue="1" operator="equal">
      <formula>$A$43</formula>
    </cfRule>
  </conditionalFormatting>
  <conditionalFormatting sqref="ES20">
    <cfRule type="cellIs" dxfId="1434" priority="70" stopIfTrue="1" operator="equal">
      <formula>$A$43</formula>
    </cfRule>
  </conditionalFormatting>
  <conditionalFormatting sqref="ES20">
    <cfRule type="cellIs" dxfId="1433" priority="69" stopIfTrue="1" operator="equal">
      <formula>$A$43</formula>
    </cfRule>
  </conditionalFormatting>
  <conditionalFormatting sqref="ES20">
    <cfRule type="cellIs" dxfId="1432" priority="68" stopIfTrue="1" operator="equal">
      <formula>$A$43</formula>
    </cfRule>
  </conditionalFormatting>
  <conditionalFormatting sqref="ES20">
    <cfRule type="cellIs" dxfId="1431" priority="67" stopIfTrue="1" operator="equal">
      <formula>$A$43</formula>
    </cfRule>
  </conditionalFormatting>
  <conditionalFormatting sqref="ES20">
    <cfRule type="cellIs" dxfId="1430" priority="66" stopIfTrue="1" operator="equal">
      <formula>$A$43</formula>
    </cfRule>
  </conditionalFormatting>
  <conditionalFormatting sqref="ES20">
    <cfRule type="cellIs" dxfId="1429" priority="65" stopIfTrue="1" operator="equal">
      <formula>$A$43</formula>
    </cfRule>
  </conditionalFormatting>
  <conditionalFormatting sqref="ES20">
    <cfRule type="cellIs" dxfId="1428" priority="64" stopIfTrue="1" operator="equal">
      <formula>$A$43</formula>
    </cfRule>
  </conditionalFormatting>
  <conditionalFormatting sqref="ES20">
    <cfRule type="cellIs" dxfId="1427" priority="63" stopIfTrue="1" operator="equal">
      <formula>$A$43</formula>
    </cfRule>
  </conditionalFormatting>
  <conditionalFormatting sqref="ES20">
    <cfRule type="cellIs" dxfId="1426" priority="62" stopIfTrue="1" operator="equal">
      <formula>$A$43</formula>
    </cfRule>
  </conditionalFormatting>
  <conditionalFormatting sqref="ES20">
    <cfRule type="cellIs" dxfId="1425" priority="61" stopIfTrue="1" operator="equal">
      <formula>$A$43</formula>
    </cfRule>
  </conditionalFormatting>
  <conditionalFormatting sqref="ES20">
    <cfRule type="cellIs" dxfId="1424" priority="60" stopIfTrue="1" operator="equal">
      <formula>$A$43</formula>
    </cfRule>
  </conditionalFormatting>
  <conditionalFormatting sqref="ES20">
    <cfRule type="cellIs" dxfId="1423" priority="59" stopIfTrue="1" operator="equal">
      <formula>$A$43</formula>
    </cfRule>
  </conditionalFormatting>
  <conditionalFormatting sqref="ES20">
    <cfRule type="cellIs" dxfId="1422" priority="58" stopIfTrue="1" operator="equal">
      <formula>$A$43</formula>
    </cfRule>
  </conditionalFormatting>
  <conditionalFormatting sqref="ES20">
    <cfRule type="cellIs" dxfId="1421" priority="57" stopIfTrue="1" operator="equal">
      <formula>$A$43</formula>
    </cfRule>
  </conditionalFormatting>
  <conditionalFormatting sqref="ES20">
    <cfRule type="cellIs" dxfId="1420" priority="56" stopIfTrue="1" operator="equal">
      <formula>$A$42</formula>
    </cfRule>
  </conditionalFormatting>
  <conditionalFormatting sqref="ES25">
    <cfRule type="cellIs" dxfId="1419" priority="54" stopIfTrue="1" operator="equal">
      <formula>$A$43</formula>
    </cfRule>
  </conditionalFormatting>
  <conditionalFormatting sqref="ES28:ES29">
    <cfRule type="cellIs" dxfId="1418" priority="52" stopIfTrue="1" operator="equal">
      <formula>$A$43</formula>
    </cfRule>
  </conditionalFormatting>
  <conditionalFormatting sqref="ES14">
    <cfRule type="cellIs" dxfId="1417" priority="44" stopIfTrue="1" operator="equal">
      <formula>$A$43</formula>
    </cfRule>
  </conditionalFormatting>
  <conditionalFormatting sqref="ES23">
    <cfRule type="cellIs" dxfId="1416" priority="43" stopIfTrue="1" operator="equal">
      <formula>$A$43</formula>
    </cfRule>
  </conditionalFormatting>
  <conditionalFormatting sqref="EP9">
    <cfRule type="cellIs" dxfId="1415" priority="41" stopIfTrue="1" operator="equal">
      <formula>$A$43</formula>
    </cfRule>
  </conditionalFormatting>
  <conditionalFormatting sqref="EQ9">
    <cfRule type="cellIs" dxfId="1414" priority="40" stopIfTrue="1" operator="equal">
      <formula>$A$43</formula>
    </cfRule>
  </conditionalFormatting>
  <conditionalFormatting sqref="EL9">
    <cfRule type="cellIs" dxfId="1413" priority="38" stopIfTrue="1" operator="equal">
      <formula>$A$43</formula>
    </cfRule>
  </conditionalFormatting>
  <conditionalFormatting sqref="EM9">
    <cfRule type="cellIs" dxfId="1412" priority="37" stopIfTrue="1" operator="equal">
      <formula>$A$43</formula>
    </cfRule>
  </conditionalFormatting>
  <conditionalFormatting sqref="EN12">
    <cfRule type="cellIs" dxfId="1411" priority="36" stopIfTrue="1" operator="equal">
      <formula>$A$43</formula>
    </cfRule>
  </conditionalFormatting>
  <conditionalFormatting sqref="ET8">
    <cfRule type="cellIs" dxfId="1410" priority="35" stopIfTrue="1" operator="equal">
      <formula>$A$43</formula>
    </cfRule>
  </conditionalFormatting>
  <conditionalFormatting sqref="ET15">
    <cfRule type="cellIs" dxfId="1409" priority="34" stopIfTrue="1" operator="equal">
      <formula>$A$43</formula>
    </cfRule>
  </conditionalFormatting>
  <conditionalFormatting sqref="ET24">
    <cfRule type="cellIs" dxfId="1408" priority="33" stopIfTrue="1" operator="equal">
      <formula>$A$43</formula>
    </cfRule>
  </conditionalFormatting>
  <conditionalFormatting sqref="ET27">
    <cfRule type="cellIs" dxfId="1407" priority="32" stopIfTrue="1" operator="equal">
      <formula>$A$43</formula>
    </cfRule>
  </conditionalFormatting>
  <conditionalFormatting sqref="ET14">
    <cfRule type="cellIs" dxfId="1406" priority="29" stopIfTrue="1" operator="equal">
      <formula>$A$43</formula>
    </cfRule>
  </conditionalFormatting>
  <conditionalFormatting sqref="EU8">
    <cfRule type="cellIs" dxfId="1405" priority="28" stopIfTrue="1" operator="equal">
      <formula>$A$43</formula>
    </cfRule>
  </conditionalFormatting>
  <conditionalFormatting sqref="EU15">
    <cfRule type="cellIs" dxfId="1404" priority="27" stopIfTrue="1" operator="equal">
      <formula>$A$43</formula>
    </cfRule>
  </conditionalFormatting>
  <conditionalFormatting sqref="EU24">
    <cfRule type="cellIs" dxfId="1403" priority="26" stopIfTrue="1" operator="equal">
      <formula>$A$43</formula>
    </cfRule>
  </conditionalFormatting>
  <conditionalFormatting sqref="EU27">
    <cfRule type="cellIs" dxfId="1402" priority="25" stopIfTrue="1" operator="equal">
      <formula>$A$43</formula>
    </cfRule>
  </conditionalFormatting>
  <conditionalFormatting sqref="EU14">
    <cfRule type="cellIs" dxfId="1401" priority="22" stopIfTrue="1" operator="equal">
      <formula>$A$43</formula>
    </cfRule>
  </conditionalFormatting>
  <conditionalFormatting sqref="EU23">
    <cfRule type="cellIs" dxfId="1400" priority="21" stopIfTrue="1" operator="equal">
      <formula>$A$43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T44"/>
  <sheetViews>
    <sheetView topLeftCell="C1" zoomScale="85" zoomScaleNormal="85" workbookViewId="0">
      <selection activeCell="I33" sqref="I33"/>
    </sheetView>
  </sheetViews>
  <sheetFormatPr baseColWidth="10" defaultColWidth="11.42578125" defaultRowHeight="12.75"/>
  <cols>
    <col min="1" max="1" width="15.42578125" style="570" hidden="1" customWidth="1"/>
    <col min="2" max="2" width="9.42578125" style="570" hidden="1" customWidth="1"/>
    <col min="3" max="3" width="37.28515625" style="537" bestFit="1" customWidth="1"/>
    <col min="4" max="4" width="7.42578125" style="582" customWidth="1"/>
    <col min="5" max="5" width="16.7109375" style="582" customWidth="1"/>
    <col min="6" max="6" width="15.85546875" style="537" customWidth="1"/>
    <col min="7" max="7" width="13.5703125" style="582" customWidth="1"/>
    <col min="8" max="8" width="14.28515625" style="537" customWidth="1"/>
    <col min="9" max="9" width="14" style="537" customWidth="1"/>
    <col min="10" max="11" width="14.42578125" customWidth="1"/>
    <col min="12" max="14" width="14.28515625" style="537" customWidth="1"/>
    <col min="15" max="16" width="14.28515625" style="708" customWidth="1"/>
    <col min="17" max="17" width="14.7109375" style="537" customWidth="1"/>
    <col min="18" max="18" width="14.28515625" style="537" customWidth="1"/>
    <col min="19" max="20" width="14.28515625" style="578" customWidth="1"/>
    <col min="21" max="21" width="14.28515625" style="537" customWidth="1"/>
    <col min="22" max="22" width="14.28515625" style="578" customWidth="1"/>
    <col min="23" max="23" width="13.7109375" customWidth="1"/>
    <col min="24" max="24" width="13" style="537" customWidth="1"/>
    <col min="25" max="25" width="14.28515625" style="763" customWidth="1"/>
    <col min="26" max="26" width="12.85546875" style="537" customWidth="1"/>
    <col min="27" max="27" width="14.28515625" style="578" customWidth="1"/>
    <col min="28" max="28" width="14.85546875" style="537" customWidth="1"/>
    <col min="29" max="31" width="16.28515625" style="537" customWidth="1"/>
    <col min="32" max="32" width="14.28515625" style="537" customWidth="1"/>
    <col min="33" max="44" width="16.28515625" style="537" customWidth="1"/>
    <col min="45" max="45" width="12.5703125" style="537" customWidth="1"/>
    <col min="46" max="54" width="13" style="537" customWidth="1"/>
    <col min="55" max="56" width="12.85546875" style="537" customWidth="1"/>
    <col min="57" max="58" width="11.42578125" style="537"/>
    <col min="59" max="59" width="12.42578125" style="582" customWidth="1"/>
    <col min="60" max="60" width="12.28515625" style="582" customWidth="1"/>
    <col min="61" max="61" width="12.42578125" style="537" customWidth="1"/>
    <col min="62" max="62" width="16.140625" style="578" customWidth="1"/>
    <col min="63" max="63" width="16.140625" style="708" customWidth="1"/>
    <col min="64" max="65" width="14.5703125" style="537" customWidth="1"/>
    <col min="66" max="67" width="14.5703125" style="708" customWidth="1"/>
    <col min="68" max="69" width="13.42578125" style="537" customWidth="1"/>
    <col min="70" max="70" width="14.85546875" style="537" customWidth="1"/>
    <col min="71" max="71" width="14.85546875" style="579" customWidth="1"/>
    <col min="72" max="72" width="14.85546875" style="579" hidden="1" customWidth="1"/>
    <col min="73" max="73" width="11.42578125" style="537" customWidth="1"/>
    <col min="74" max="16384" width="11.42578125" style="537"/>
  </cols>
  <sheetData>
    <row r="1" spans="1:72">
      <c r="C1" s="1473" t="str">
        <f>Criterios!A9 &amp;"  "&amp;Criterios!B9</f>
        <v>Tribunales de Justicia  ANDALUCIA</v>
      </c>
      <c r="F1" s="582"/>
    </row>
    <row r="2" spans="1:72" ht="16.5" customHeight="1">
      <c r="C2" s="571" t="str">
        <f>Criterios!A10 &amp;"  "&amp;Criterios!B10 &amp; "  " &amp; IF(NOT(ISBLANK(Criterios!A11)),Criterios!A11 &amp;"  "&amp;Criterios!B11,"")</f>
        <v>Provincias  MALAGA  Resumenes por Partidos Judiciales  MALAGA</v>
      </c>
      <c r="D2" s="572"/>
      <c r="E2" s="573"/>
      <c r="F2" s="827"/>
      <c r="G2" s="575"/>
      <c r="I2" s="574"/>
      <c r="J2" s="368"/>
      <c r="K2" s="368"/>
      <c r="L2" s="574"/>
      <c r="M2" s="574"/>
      <c r="N2" s="574"/>
      <c r="O2" s="722"/>
      <c r="P2" s="722"/>
      <c r="Q2" s="574"/>
      <c r="U2" s="574"/>
      <c r="V2" s="576"/>
      <c r="Y2" s="759"/>
    </row>
    <row r="3" spans="1:72" ht="30" customHeight="1">
      <c r="C3" s="874"/>
      <c r="D3" s="581"/>
      <c r="F3" s="582"/>
      <c r="G3" s="583"/>
      <c r="I3" s="577"/>
    </row>
    <row r="4" spans="1:72" ht="17.25" customHeight="1" thickBot="1">
      <c r="C4" s="804"/>
      <c r="D4" s="585"/>
      <c r="E4" s="586"/>
      <c r="F4" s="586"/>
      <c r="G4" s="586"/>
      <c r="H4" s="586"/>
      <c r="I4" s="587"/>
      <c r="J4" s="367"/>
      <c r="K4" s="367"/>
      <c r="L4" s="586"/>
      <c r="M4" s="587"/>
      <c r="N4" s="587"/>
      <c r="O4" s="773"/>
      <c r="P4" s="587"/>
      <c r="Q4" s="586"/>
      <c r="R4" s="587"/>
      <c r="S4" s="576"/>
      <c r="T4" s="811"/>
      <c r="U4" s="587"/>
      <c r="V4" s="586"/>
      <c r="Y4" s="823"/>
      <c r="Z4" s="587"/>
      <c r="AA4" s="586"/>
      <c r="AB4" s="587"/>
      <c r="AC4" s="586"/>
      <c r="AD4" s="586"/>
      <c r="AE4" s="586"/>
      <c r="AF4" s="587"/>
      <c r="AG4" s="586"/>
      <c r="AH4" s="586"/>
      <c r="AI4" s="586"/>
      <c r="AJ4" s="586"/>
      <c r="AK4" s="587"/>
      <c r="AL4" s="586"/>
      <c r="AM4" s="587"/>
      <c r="AN4" s="586"/>
      <c r="AO4" s="587"/>
      <c r="AP4" s="586"/>
      <c r="AQ4" s="587"/>
      <c r="AR4" s="587"/>
      <c r="AS4" s="586"/>
      <c r="AT4" s="587"/>
      <c r="AU4" s="586"/>
      <c r="AV4" s="587"/>
      <c r="AW4" s="586"/>
      <c r="AX4" s="587"/>
      <c r="AY4" s="586"/>
      <c r="AZ4" s="587"/>
      <c r="BA4" s="586"/>
      <c r="BB4" s="587"/>
      <c r="BC4" s="586"/>
      <c r="BD4" s="587"/>
      <c r="BE4" s="586"/>
      <c r="BF4" s="587"/>
      <c r="BG4" s="586"/>
      <c r="BH4" s="586"/>
      <c r="BI4" s="586"/>
      <c r="BJ4" s="587"/>
      <c r="BK4" s="586"/>
      <c r="BL4" s="587"/>
      <c r="BM4" s="586"/>
      <c r="BN4" s="587"/>
      <c r="BO4" s="586"/>
      <c r="BP4" s="587"/>
      <c r="BQ4" s="586"/>
      <c r="BR4" s="587"/>
      <c r="BS4" s="586"/>
      <c r="BT4" s="586"/>
    </row>
    <row r="5" spans="1:72" ht="15.75" customHeight="1">
      <c r="A5" s="1642" t="s">
        <v>469</v>
      </c>
      <c r="B5" s="297"/>
      <c r="C5" s="1883" t="str">
        <f>"Año:  " &amp;Criterios!B$5 &amp; "          Trimestre   " &amp;Criterios!D$5 &amp; " al " &amp;Criterios!D$6</f>
        <v>Año:  2021          Trimestre   1 al 4</v>
      </c>
      <c r="D5" s="1847" t="s">
        <v>495</v>
      </c>
      <c r="E5" s="1847" t="s">
        <v>762</v>
      </c>
      <c r="F5" s="1885" t="s">
        <v>531</v>
      </c>
      <c r="G5" s="1847" t="s">
        <v>176</v>
      </c>
      <c r="H5" s="1847" t="s">
        <v>795</v>
      </c>
      <c r="I5" s="1847" t="s">
        <v>763</v>
      </c>
      <c r="J5" s="1847" t="s">
        <v>880</v>
      </c>
      <c r="K5" s="1847" t="s">
        <v>881</v>
      </c>
      <c r="L5" s="1847" t="s">
        <v>764</v>
      </c>
      <c r="M5" s="1847" t="s">
        <v>719</v>
      </c>
      <c r="N5" s="1847" t="s">
        <v>882</v>
      </c>
      <c r="O5" s="1877" t="s">
        <v>793</v>
      </c>
      <c r="P5" s="1847" t="s">
        <v>902</v>
      </c>
      <c r="Q5" s="1847" t="s">
        <v>896</v>
      </c>
      <c r="R5" s="1847" t="s">
        <v>232</v>
      </c>
      <c r="S5" s="1880" t="s">
        <v>892</v>
      </c>
      <c r="T5" s="1880" t="s">
        <v>895</v>
      </c>
      <c r="U5" s="1847" t="s">
        <v>796</v>
      </c>
      <c r="V5" s="1880" t="s">
        <v>765</v>
      </c>
      <c r="W5" s="1847" t="s">
        <v>1055</v>
      </c>
      <c r="X5" s="1847" t="s">
        <v>1056</v>
      </c>
      <c r="Y5" s="1859" t="s">
        <v>883</v>
      </c>
      <c r="Z5" s="1850" t="s">
        <v>821</v>
      </c>
      <c r="AA5" s="1853" t="s">
        <v>766</v>
      </c>
      <c r="AB5" s="1850" t="s">
        <v>767</v>
      </c>
      <c r="AC5" s="1850" t="s">
        <v>768</v>
      </c>
      <c r="AD5" s="1856" t="s">
        <v>884</v>
      </c>
      <c r="AE5" s="1856" t="s">
        <v>1083</v>
      </c>
      <c r="AF5" s="1847" t="s">
        <v>897</v>
      </c>
      <c r="AG5" s="1847" t="s">
        <v>720</v>
      </c>
      <c r="AH5" s="1847" t="s">
        <v>885</v>
      </c>
      <c r="AI5" s="1847" t="s">
        <v>243</v>
      </c>
      <c r="AJ5" s="1847" t="s">
        <v>952</v>
      </c>
      <c r="AK5" s="1847" t="s">
        <v>721</v>
      </c>
      <c r="AL5" s="1847" t="s">
        <v>722</v>
      </c>
      <c r="AM5" s="1847" t="s">
        <v>903</v>
      </c>
      <c r="AN5" s="1847" t="s">
        <v>723</v>
      </c>
      <c r="AO5" s="1847" t="s">
        <v>724</v>
      </c>
      <c r="AP5" s="1847" t="s">
        <v>725</v>
      </c>
      <c r="AQ5" s="1847" t="s">
        <v>726</v>
      </c>
      <c r="AR5" s="1847" t="s">
        <v>886</v>
      </c>
      <c r="AS5" s="1847" t="s">
        <v>246</v>
      </c>
      <c r="AT5" s="1862" t="s">
        <v>244</v>
      </c>
      <c r="AU5" s="1847" t="s">
        <v>898</v>
      </c>
      <c r="AV5" s="1865" t="s">
        <v>899</v>
      </c>
      <c r="AW5" s="1868" t="s">
        <v>728</v>
      </c>
      <c r="AX5" s="1847" t="s">
        <v>729</v>
      </c>
      <c r="AY5" s="1847" t="s">
        <v>819</v>
      </c>
      <c r="AZ5" s="1871" t="s">
        <v>820</v>
      </c>
      <c r="BA5" s="1847" t="s">
        <v>770</v>
      </c>
      <c r="BB5" s="1865" t="s">
        <v>771</v>
      </c>
      <c r="BC5" s="1868" t="s">
        <v>247</v>
      </c>
      <c r="BD5" s="1847" t="s">
        <v>772</v>
      </c>
      <c r="BE5" s="1847" t="s">
        <v>325</v>
      </c>
      <c r="BF5" s="1847" t="s">
        <v>326</v>
      </c>
      <c r="BG5" s="1847" t="s">
        <v>327</v>
      </c>
      <c r="BH5" s="1847" t="s">
        <v>773</v>
      </c>
      <c r="BI5" s="1847" t="s">
        <v>328</v>
      </c>
      <c r="BJ5" s="1847" t="s">
        <v>774</v>
      </c>
      <c r="BK5" s="1847" t="s">
        <v>789</v>
      </c>
      <c r="BL5" s="1847" t="s">
        <v>775</v>
      </c>
      <c r="BM5" s="1847" t="s">
        <v>776</v>
      </c>
      <c r="BN5" s="1847" t="s">
        <v>804</v>
      </c>
      <c r="BO5" s="1847" t="s">
        <v>797</v>
      </c>
      <c r="BP5" s="1847" t="s">
        <v>440</v>
      </c>
      <c r="BQ5" s="1847" t="s">
        <v>798</v>
      </c>
      <c r="BR5" s="1847" t="s">
        <v>777</v>
      </c>
      <c r="BS5" s="1847" t="s">
        <v>727</v>
      </c>
      <c r="BT5" s="1874" t="s">
        <v>1057</v>
      </c>
    </row>
    <row r="6" spans="1:72" ht="21.75" customHeight="1">
      <c r="A6" s="1643"/>
      <c r="B6" s="298"/>
      <c r="C6" s="1884"/>
      <c r="D6" s="1848"/>
      <c r="E6" s="1848"/>
      <c r="F6" s="1886"/>
      <c r="G6" s="1848"/>
      <c r="H6" s="1848"/>
      <c r="I6" s="1848"/>
      <c r="J6" s="1848"/>
      <c r="K6" s="1848"/>
      <c r="L6" s="1848"/>
      <c r="M6" s="1848"/>
      <c r="N6" s="1848"/>
      <c r="O6" s="1878"/>
      <c r="P6" s="1848"/>
      <c r="Q6" s="1848"/>
      <c r="R6" s="1848"/>
      <c r="S6" s="1881"/>
      <c r="T6" s="1881"/>
      <c r="U6" s="1848"/>
      <c r="V6" s="1881"/>
      <c r="W6" s="1848"/>
      <c r="X6" s="1848"/>
      <c r="Y6" s="1860"/>
      <c r="Z6" s="1851"/>
      <c r="AA6" s="1854"/>
      <c r="AB6" s="1851"/>
      <c r="AC6" s="1851"/>
      <c r="AD6" s="1857"/>
      <c r="AE6" s="1857"/>
      <c r="AF6" s="1848"/>
      <c r="AG6" s="1848"/>
      <c r="AH6" s="1848"/>
      <c r="AI6" s="1848"/>
      <c r="AJ6" s="1848"/>
      <c r="AK6" s="1848"/>
      <c r="AL6" s="1848"/>
      <c r="AM6" s="1848"/>
      <c r="AN6" s="1848"/>
      <c r="AO6" s="1848"/>
      <c r="AP6" s="1848"/>
      <c r="AQ6" s="1848"/>
      <c r="AR6" s="1848"/>
      <c r="AS6" s="1848"/>
      <c r="AT6" s="1863"/>
      <c r="AU6" s="1848"/>
      <c r="AV6" s="1866"/>
      <c r="AW6" s="1869"/>
      <c r="AX6" s="1848"/>
      <c r="AY6" s="1848"/>
      <c r="AZ6" s="1872"/>
      <c r="BA6" s="1848"/>
      <c r="BB6" s="1866"/>
      <c r="BC6" s="1869"/>
      <c r="BD6" s="1848"/>
      <c r="BE6" s="1848"/>
      <c r="BF6" s="1848"/>
      <c r="BG6" s="1848"/>
      <c r="BH6" s="1848"/>
      <c r="BI6" s="1848"/>
      <c r="BJ6" s="1848"/>
      <c r="BK6" s="1848"/>
      <c r="BL6" s="1848"/>
      <c r="BM6" s="1848"/>
      <c r="BN6" s="1848"/>
      <c r="BO6" s="1848"/>
      <c r="BP6" s="1848"/>
      <c r="BQ6" s="1848"/>
      <c r="BR6" s="1848"/>
      <c r="BS6" s="1848"/>
      <c r="BT6" s="1875"/>
    </row>
    <row r="7" spans="1:72" ht="38.25" customHeight="1" thickBot="1">
      <c r="A7" s="1644"/>
      <c r="B7" s="299"/>
      <c r="C7" s="288" t="str">
        <f>Datos!A7</f>
        <v>COMPETENCIAS</v>
      </c>
      <c r="D7" s="1849"/>
      <c r="E7" s="1849"/>
      <c r="F7" s="1887"/>
      <c r="G7" s="1849"/>
      <c r="H7" s="1849"/>
      <c r="I7" s="1849"/>
      <c r="J7" s="1849"/>
      <c r="K7" s="1849"/>
      <c r="L7" s="1849"/>
      <c r="M7" s="1849"/>
      <c r="N7" s="1849"/>
      <c r="O7" s="1879"/>
      <c r="P7" s="1849"/>
      <c r="Q7" s="1849"/>
      <c r="R7" s="1849"/>
      <c r="S7" s="1882"/>
      <c r="T7" s="1882"/>
      <c r="U7" s="1849"/>
      <c r="V7" s="1882"/>
      <c r="W7" s="1849"/>
      <c r="X7" s="1849"/>
      <c r="Y7" s="1861"/>
      <c r="Z7" s="1852"/>
      <c r="AA7" s="1855"/>
      <c r="AB7" s="1852"/>
      <c r="AC7" s="1852"/>
      <c r="AD7" s="1858"/>
      <c r="AE7" s="1858"/>
      <c r="AF7" s="1849"/>
      <c r="AG7" s="1849"/>
      <c r="AH7" s="1849"/>
      <c r="AI7" s="1849"/>
      <c r="AJ7" s="1849"/>
      <c r="AK7" s="1849"/>
      <c r="AL7" s="1849"/>
      <c r="AM7" s="1849"/>
      <c r="AN7" s="1849"/>
      <c r="AO7" s="1849"/>
      <c r="AP7" s="1849"/>
      <c r="AQ7" s="1849"/>
      <c r="AR7" s="1849"/>
      <c r="AS7" s="1849"/>
      <c r="AT7" s="1864"/>
      <c r="AU7" s="1849"/>
      <c r="AV7" s="1867"/>
      <c r="AW7" s="1870"/>
      <c r="AX7" s="1849"/>
      <c r="AY7" s="1849"/>
      <c r="AZ7" s="1873"/>
      <c r="BA7" s="1849"/>
      <c r="BB7" s="1867"/>
      <c r="BC7" s="1870"/>
      <c r="BD7" s="1849"/>
      <c r="BE7" s="1849"/>
      <c r="BF7" s="1849"/>
      <c r="BG7" s="1849"/>
      <c r="BH7" s="1849"/>
      <c r="BI7" s="1849"/>
      <c r="BJ7" s="1849"/>
      <c r="BK7" s="1849"/>
      <c r="BL7" s="1849"/>
      <c r="BM7" s="1849"/>
      <c r="BN7" s="1849"/>
      <c r="BO7" s="1849"/>
      <c r="BP7" s="1849"/>
      <c r="BQ7" s="1849"/>
      <c r="BR7" s="1849"/>
      <c r="BS7" s="1849"/>
      <c r="BT7" s="1876"/>
    </row>
    <row r="8" spans="1:72" ht="15" thickTop="1">
      <c r="A8" s="588"/>
      <c r="B8" s="588"/>
      <c r="C8" s="174" t="str">
        <f>Datos!A8</f>
        <v>Jurisdicción Civil ( 1 ):</v>
      </c>
      <c r="D8" s="589"/>
      <c r="E8" s="589"/>
      <c r="F8" s="230"/>
      <c r="G8" s="543"/>
      <c r="H8" s="231"/>
      <c r="I8" s="230"/>
      <c r="J8" s="231"/>
      <c r="K8" s="231"/>
      <c r="L8" s="231"/>
      <c r="M8" s="231"/>
      <c r="N8" s="231"/>
      <c r="O8" s="723"/>
      <c r="P8" s="723"/>
      <c r="Q8" s="231"/>
      <c r="R8" s="231"/>
      <c r="S8" s="544"/>
      <c r="T8" s="544"/>
      <c r="U8" s="231"/>
      <c r="V8" s="544"/>
      <c r="W8" s="325"/>
      <c r="X8" s="325"/>
      <c r="Y8" s="231"/>
      <c r="Z8" s="235"/>
      <c r="AA8" s="545"/>
      <c r="AB8" s="230"/>
      <c r="AC8" s="231"/>
      <c r="AD8" s="231"/>
      <c r="AE8" s="231"/>
      <c r="AF8" s="230"/>
      <c r="AG8" s="231"/>
      <c r="AH8" s="231"/>
      <c r="AI8" s="231"/>
      <c r="AJ8" s="231"/>
      <c r="AK8" s="231"/>
      <c r="AL8" s="231"/>
      <c r="AM8" s="231"/>
      <c r="AN8" s="231"/>
      <c r="AO8" s="231"/>
      <c r="AP8" s="231"/>
      <c r="AQ8" s="231"/>
      <c r="AR8" s="231"/>
      <c r="AS8" s="339"/>
      <c r="AT8" s="230"/>
      <c r="AU8" s="231"/>
      <c r="AV8" s="232"/>
      <c r="AW8" s="324"/>
      <c r="AX8" s="241"/>
      <c r="AY8" s="324"/>
      <c r="AZ8" s="241"/>
      <c r="BA8" s="231"/>
      <c r="BB8" s="232"/>
      <c r="BC8" s="230"/>
      <c r="BD8" s="231"/>
      <c r="BE8" s="233"/>
      <c r="BF8" s="234"/>
      <c r="BG8" s="1053"/>
      <c r="BH8" s="1058"/>
      <c r="BI8" s="235"/>
      <c r="BJ8" s="238"/>
      <c r="BK8" s="709"/>
      <c r="BL8" s="238"/>
      <c r="BM8" s="331"/>
      <c r="BN8" s="726"/>
      <c r="BO8" s="726"/>
      <c r="BP8" s="238"/>
      <c r="BQ8" s="238"/>
      <c r="BR8" s="325"/>
      <c r="BS8" s="546"/>
      <c r="BT8" s="1475"/>
    </row>
    <row r="9" spans="1:72" s="582" customFormat="1" ht="14.25">
      <c r="A9" s="749">
        <f>Datos!AO9</f>
        <v>17</v>
      </c>
      <c r="B9" s="749" t="s">
        <v>324</v>
      </c>
      <c r="C9" s="770" t="str">
        <f>Datos!A9</f>
        <v xml:space="preserve">Jdos. 1ª Instancia   </v>
      </c>
      <c r="D9" s="597"/>
      <c r="E9" s="553">
        <f>IF(ISNUMBER(Datos!AQ9),Datos!AQ9," - ")</f>
        <v>17</v>
      </c>
      <c r="F9" s="556" t="str">
        <f>IF(ISNUMBER(AF9+AB9-I9-L9),AF9+AB9-I9-L9," - ")</f>
        <v xml:space="preserve"> - </v>
      </c>
      <c r="G9" s="547" t="str">
        <f>IF(ISNUMBER(IF(J_V="SI",Datos!I9,Datos!I9+Datos!Y9)-IF(Monitorios="SI",Datos!CA9,0)),
                          IF(J_V="SI",Datos!I9,Datos!I9+Datos!Y9)-IF(Monitorios="SI",Datos!CA9,0),
                          " - ")</f>
        <v xml:space="preserve"> - </v>
      </c>
      <c r="H9" s="551"/>
      <c r="I9" s="556" t="str">
        <f>IF(ISNUMBER(Datos!DB9),Datos!DB9," - ")</f>
        <v xml:space="preserve"> - </v>
      </c>
      <c r="J9" s="551" t="str">
        <f>IF(ISNUMBER(Datos!DC9),Datos!DC9," - ")</f>
        <v xml:space="preserve"> - </v>
      </c>
      <c r="K9" s="553" t="str">
        <f>IF(ISNUMBER(Datos!DD9),Datos!DD9," - ")</f>
        <v xml:space="preserve"> - </v>
      </c>
      <c r="L9" s="551">
        <f>IF(ISNUMBER(Datos!DF9),Datos!DF9,0)</f>
        <v>0</v>
      </c>
      <c r="M9" s="551">
        <f>IF(ISNUMBER(Datos!DM9),Datos!DM9,0)</f>
        <v>0</v>
      </c>
      <c r="N9" s="553">
        <f>IF(ISNUMBER(Datos!Z9),Datos!Z9," - ")</f>
        <v>4134</v>
      </c>
      <c r="O9" s="553"/>
      <c r="P9" s="553"/>
      <c r="Q9" s="551">
        <f>IF(ISNUMBER(Datos!P9),Datos!P9,0)</f>
        <v>6660</v>
      </c>
      <c r="R9" s="551" t="str">
        <f>IF(ISNUMBER(Datos!DE9),Datos!DE9," - ")</f>
        <v xml:space="preserve"> - </v>
      </c>
      <c r="S9" s="815"/>
      <c r="T9" s="815"/>
      <c r="U9" s="551" t="str">
        <f>IF(ISNUMBER(Datos!AS9/1),Datos!AS9/1," - ")</f>
        <v xml:space="preserve"> - </v>
      </c>
      <c r="V9" s="552" t="str">
        <f>IF(ISNUMBER(U9/(Datos!BM9/factor_trimestre)),U9/(Datos!BM9/factor_trimestre)," - ")</f>
        <v xml:space="preserve"> - </v>
      </c>
      <c r="W9" s="551" t="str">
        <f>IF(ISNUMBER(Datos!EO9),Datos!EO9," - ")</f>
        <v xml:space="preserve"> - </v>
      </c>
      <c r="X9" s="1327" t="e">
        <f>(W9/Datos!ER9)*factor_trimestre</f>
        <v>#VALUE!</v>
      </c>
      <c r="Y9" s="810" t="str">
        <f>IF(ISNUMBER(Datos!CB9),Datos!CB9," - ")</f>
        <v xml:space="preserve"> - </v>
      </c>
      <c r="Z9" s="556">
        <f>IF(ISNUMBER(Datos!BY9+Datos!BZ9*0.86),Datos!BY9+Datos!BZ9*0.86," - ")</f>
        <v>0</v>
      </c>
      <c r="AA9" s="552">
        <f>IF(ISNUMBER((Z9*factor_trimestre)/DatosB!CN9),(Z9*factor_trimestre)/DatosB!CN9,"-")</f>
        <v>0</v>
      </c>
      <c r="AB9" s="556" t="str">
        <f>IF(ISNUMBER(IF(J_V="SI",Datos!K9,Datos!K9+Datos!AA9)-IF(Monitorios="SI",Datos!CC9,0)),
                          IF(J_V="SI",Datos!K9,Datos!K9+Datos!AA9)-IF(Monitorios="SI",Datos!CC9,0),
                          " - ")</f>
        <v xml:space="preserve"> - </v>
      </c>
      <c r="AC9" s="551">
        <f>IF(ISNUMBER(Datos!Q9),Datos!Q9," - ")</f>
        <v>8782</v>
      </c>
      <c r="AD9" s="553" t="str">
        <f>IF(ISNUMBER(Datos!CC9),Datos!CC9," - ")</f>
        <v xml:space="preserve"> - </v>
      </c>
      <c r="AE9" s="567" t="str">
        <f>IF(ISNUMBER(Datos!EM9),Datos!EM9," - ")</f>
        <v xml:space="preserve"> - </v>
      </c>
      <c r="AF9" s="555" t="str">
        <f>IF(ISNUMBER(IF(J_V="SI",Datos!L9,Datos!L9+Datos!AB9)-IF(Monitorios="SI",Datos!CD9,0)),
                          IF(J_V="SI",Datos!L9,Datos!L9+Datos!AB9)-IF(Monitorios="SI",Datos!CD9,0),
                          " - ")</f>
        <v xml:space="preserve"> - </v>
      </c>
      <c r="AG9" s="553"/>
      <c r="AH9" s="553">
        <f>IF(ISNUMBER(Datos!AB9),Datos!AB9,"-")</f>
        <v>626</v>
      </c>
      <c r="AI9" s="553" t="str">
        <f>IF(ISNUMBER(Datos!CD9),Datos!CD9,"-")</f>
        <v>-</v>
      </c>
      <c r="AJ9" s="553" t="str">
        <f>IF(ISNUMBER(Datos!EN9),Datos!EN9," - ")</f>
        <v xml:space="preserve"> - </v>
      </c>
      <c r="AK9" s="553"/>
      <c r="AL9" s="554"/>
      <c r="AM9" s="771">
        <f>IF(ISNUMBER(Datos!R9),Datos!R9," - ")</f>
        <v>21751</v>
      </c>
      <c r="AN9" s="553"/>
      <c r="AO9" s="553"/>
      <c r="AP9" s="553"/>
      <c r="AQ9" s="553"/>
      <c r="AR9" s="553"/>
      <c r="AS9" s="553" t="str">
        <f>IF(ISNUMBER(Datos!BV9),Datos!BV9," - ")</f>
        <v xml:space="preserve"> - </v>
      </c>
      <c r="AT9" s="556" t="str">
        <f>IF(ISNUMBER(Datos!CK9),Datos!CK9," - ")</f>
        <v xml:space="preserve"> - </v>
      </c>
      <c r="AU9" s="557" t="str">
        <f>IF(ISNUMBER(Datos!CL9),Datos!CL9," - ")</f>
        <v xml:space="preserve"> - </v>
      </c>
      <c r="AV9" s="558" t="str">
        <f>IF(ISNUMBER(Datos!CM9),Datos!CM9," - ")</f>
        <v xml:space="preserve"> - </v>
      </c>
      <c r="AW9" s="557" t="str">
        <f>IF(ISNUMBER(Datos!DV9),Datos!DV9," - ")</f>
        <v xml:space="preserve"> - </v>
      </c>
      <c r="AX9" s="558" t="str">
        <f>IF(ISNUMBER(Datos!DW9),Datos!DW9," - ")</f>
        <v xml:space="preserve"> - </v>
      </c>
      <c r="AY9" s="557" t="str">
        <f>IF(ISNUMBER(Datos!DX9),Datos!DX9," - ")</f>
        <v xml:space="preserve"> - </v>
      </c>
      <c r="AZ9" s="558" t="str">
        <f>IF(ISNUMBER(Datos!DY9),Datos!DY9," - ")</f>
        <v xml:space="preserve"> - </v>
      </c>
      <c r="BA9" s="557"/>
      <c r="BB9" s="558"/>
      <c r="BC9" s="556">
        <f>IF(ISNUMBER(Datos!M9),Datos!M9," - ")</f>
        <v>8836</v>
      </c>
      <c r="BD9" s="697">
        <f>IF(ISNUMBER(Datos!N9),Datos!N9," - ")</f>
        <v>20181</v>
      </c>
      <c r="BE9" s="697" t="str">
        <f>IF(ISNUMBER(Datos!BW9),Datos!BW9," - ")</f>
        <v xml:space="preserve"> - </v>
      </c>
      <c r="BF9" s="767" t="str">
        <f>IF(ISNUMBER(Datos!BX9),Datos!BX9," - ")</f>
        <v xml:space="preserve"> - </v>
      </c>
      <c r="BG9" s="768">
        <f>IF(ISNUMBER(IF(J_V="SI",Datos!K9/Datos!J9,(Datos!K9+Datos!AA9)/(Datos!J9+Datos!Z9))),IF(J_V="SI",Datos!K9/Datos!J9,(Datos!K9+Datos!AA9)/(Datos!J9+Datos!Z9))," - ")</f>
        <v>1.0235824059353471</v>
      </c>
      <c r="BH9" s="769">
        <f>IF(ISNUMBER(((IF(J_V="SI",Datos!L9/Datos!K9,(Datos!L9+Datos!AB9)/(Datos!K9+Datos!AA9)))*11)/factor_trimestre),((IF(J_V="SI",Datos!L9/Datos!K9,(Datos!L9+Datos!AB9)/(Datos!K9+Datos!AA9)))*11)/factor_trimestre," - ")</f>
        <v>6.8138493398912763</v>
      </c>
      <c r="BI9" s="768"/>
      <c r="BJ9" s="559" t="str">
        <f>IF(ISNUMBER(Datos!CI9/Datos!CJ9),Datos!CI9/Datos!CJ9," - ")</f>
        <v xml:space="preserve"> - </v>
      </c>
      <c r="BK9" s="753" t="str">
        <f>IF(ISNUMBER(Datos!CJ9),Datos!CJ9," - ")</f>
        <v xml:space="preserve"> - </v>
      </c>
      <c r="BL9" s="559" t="str">
        <f>IF(ISNUMBER((J9-AB9+L9)/(F9)),(J9-AB9+L9)/(F9)," - ")</f>
        <v xml:space="preserve"> - </v>
      </c>
      <c r="BM9" s="772">
        <f>IF(ISNUMBER((Datos!P9-Datos!Q9+Datos!DE9)/(Datos!R9-Datos!P9+Datos!Q9-Datos!DE9)),(Datos!P9-Datos!Q9+Datos!DE9)/(Datos!R9-Datos!P9+Datos!Q9-Datos!DE9)," - ")</f>
        <v>-8.8887027185523396E-2</v>
      </c>
      <c r="BN9" s="758"/>
      <c r="BO9" s="758"/>
      <c r="BP9" s="721" t="str">
        <f>IF(ISNUMBER(Datos!CW9),Datos!CW9," - ")</f>
        <v xml:space="preserve"> - </v>
      </c>
      <c r="BQ9" s="721"/>
      <c r="BR9" s="721">
        <f>Datos!CX9</f>
        <v>0</v>
      </c>
      <c r="BS9" s="561">
        <f>Datos!DU9</f>
        <v>0</v>
      </c>
      <c r="BT9" s="1476">
        <f>Datos!ER9/factor_trimestre</f>
        <v>1200</v>
      </c>
    </row>
    <row r="10" spans="1:72" s="582" customFormat="1" ht="14.25">
      <c r="A10" s="749">
        <f>Datos!AO10</f>
        <v>3</v>
      </c>
      <c r="B10" s="750" t="s">
        <v>324</v>
      </c>
      <c r="C10" s="751" t="str">
        <f>Datos!A10</f>
        <v>Jdos. Violencia contra la mujer</v>
      </c>
      <c r="D10" s="605"/>
      <c r="E10" s="553">
        <f>IF(ISNUMBER(Datos!AQ10),Datos!AQ10," - ")</f>
        <v>3</v>
      </c>
      <c r="F10" s="556">
        <f>IF(ISNUMBER(Datos!L10+Datos!K10-Datos!J10),Datos!L10+Datos!K10-Datos!J10," - ")</f>
        <v>265</v>
      </c>
      <c r="G10" s="547">
        <f>IF(ISNUMBER(Datos!I10),Datos!I10," - ")</f>
        <v>260</v>
      </c>
      <c r="H10" s="551"/>
      <c r="I10" s="556" t="str">
        <f>IF(ISNUMBER(Datos!DB10),Datos!DB10," - ")</f>
        <v xml:space="preserve"> - </v>
      </c>
      <c r="J10" s="551" t="str">
        <f>IF(ISNUMBER(Datos!DC10),Datos!DC10," - ")</f>
        <v xml:space="preserve"> - </v>
      </c>
      <c r="K10" s="553" t="str">
        <f>IF(ISNUMBER(Datos!DD10),Datos!DD10," - ")</f>
        <v xml:space="preserve"> - </v>
      </c>
      <c r="L10" s="551">
        <f>IF(ISNUMBER(Datos!DF10),Datos!DF10,0)</f>
        <v>0</v>
      </c>
      <c r="M10" s="551">
        <f>IF(ISNUMBER(Datos!DM10),Datos!DM10,0)</f>
        <v>0</v>
      </c>
      <c r="N10" s="553"/>
      <c r="O10" s="553"/>
      <c r="P10" s="553"/>
      <c r="Q10" s="551">
        <f>IF(ISNUMBER(Datos!P10),Datos!P10,0)</f>
        <v>163</v>
      </c>
      <c r="R10" s="551" t="str">
        <f>IF(ISNUMBER(Datos!DE10),Datos!DE10," - ")</f>
        <v xml:space="preserve"> - </v>
      </c>
      <c r="S10" s="815"/>
      <c r="T10" s="815"/>
      <c r="U10" s="551" t="str">
        <f>IF(ISNUMBER(Datos!AS10/1),Datos!AS10/1," - ")</f>
        <v xml:space="preserve"> - </v>
      </c>
      <c r="V10" s="552" t="str">
        <f>IF(ISNUMBER(U10/(Datos!BM10/factor_trimestre)),U10/(Datos!BM10/factor_trimestre)," - ")</f>
        <v xml:space="preserve"> - </v>
      </c>
      <c r="W10" s="551" t="str">
        <f>IF(ISNUMBER(Datos!EO10),Datos!EO10," - ")</f>
        <v xml:space="preserve"> - </v>
      </c>
      <c r="X10" s="1327" t="e">
        <f>(W10/Datos!ER10)*factor_trimestre</f>
        <v>#VALUE!</v>
      </c>
      <c r="Y10" s="810"/>
      <c r="Z10" s="556" t="str">
        <f>IF(ISNUMBER(Datos!BY10),Datos!BY10," - ")</f>
        <v xml:space="preserve"> - </v>
      </c>
      <c r="AA10" s="552" t="str">
        <f>IF(ISNUMBER((Z10*factor_trimestre)/DatosB!CN10),(Z10*factor_trimestre)/DatosB!CN10,"-")</f>
        <v>-</v>
      </c>
      <c r="AB10" s="556">
        <f>IF(ISNUMBER(Datos!K10),Datos!K10," - ")</f>
        <v>532</v>
      </c>
      <c r="AC10" s="551">
        <f>IF(ISNUMBER(Datos!Q10),Datos!Q10," - ")</f>
        <v>195</v>
      </c>
      <c r="AD10" s="553"/>
      <c r="AE10" s="567"/>
      <c r="AF10" s="555">
        <f>IF(ISNUMBER(Datos!L10),Datos!L10,"-")</f>
        <v>204</v>
      </c>
      <c r="AG10" s="553"/>
      <c r="AH10" s="553"/>
      <c r="AI10" s="553"/>
      <c r="AJ10" s="553"/>
      <c r="AK10" s="553"/>
      <c r="AL10" s="554"/>
      <c r="AM10" s="771">
        <f>IF(ISNUMBER(Datos!R10),Datos!R10," - ")</f>
        <v>285</v>
      </c>
      <c r="AN10" s="553"/>
      <c r="AO10" s="553"/>
      <c r="AP10" s="553"/>
      <c r="AQ10" s="553"/>
      <c r="AR10" s="553"/>
      <c r="AS10" s="553" t="str">
        <f>IF(ISNUMBER(Datos!BV10),Datos!BV10," - ")</f>
        <v xml:space="preserve"> - </v>
      </c>
      <c r="AT10" s="556" t="str">
        <f>IF(ISNUMBER(Datos!CK10),Datos!CK10," - ")</f>
        <v xml:space="preserve"> - </v>
      </c>
      <c r="AU10" s="557" t="str">
        <f>IF(ISNUMBER(Datos!CL10),Datos!CL10," - ")</f>
        <v xml:space="preserve"> - </v>
      </c>
      <c r="AV10" s="558" t="str">
        <f>IF(ISNUMBER(Datos!CM10),Datos!CM10," - ")</f>
        <v xml:space="preserve"> - </v>
      </c>
      <c r="AW10" s="557" t="str">
        <f>IF(ISNUMBER(Datos!DV10),Datos!DV10," - ")</f>
        <v xml:space="preserve"> - </v>
      </c>
      <c r="AX10" s="558" t="str">
        <f>IF(ISNUMBER(Datos!DW10),Datos!DW10," - ")</f>
        <v xml:space="preserve"> - </v>
      </c>
      <c r="AY10" s="557" t="str">
        <f>IF(ISNUMBER(Datos!DX10),Datos!DX10," - ")</f>
        <v xml:space="preserve"> - </v>
      </c>
      <c r="AZ10" s="558" t="str">
        <f>IF(ISNUMBER(Datos!DY10),Datos!DY10," - ")</f>
        <v xml:space="preserve"> - </v>
      </c>
      <c r="BA10" s="557"/>
      <c r="BB10" s="558"/>
      <c r="BC10" s="556">
        <f>IF(ISNUMBER(Datos!M10),Datos!M10," - ")</f>
        <v>207</v>
      </c>
      <c r="BD10" s="697">
        <f>IF(ISNUMBER(Datos!N10),Datos!N10," - ")</f>
        <v>247</v>
      </c>
      <c r="BE10" s="697" t="str">
        <f>IF(ISNUMBER(Datos!BW10),Datos!BW10," - ")</f>
        <v xml:space="preserve"> - </v>
      </c>
      <c r="BF10" s="767" t="str">
        <f>IF(ISNUMBER(Datos!BX10),Datos!BX10," - ")</f>
        <v xml:space="preserve"> - </v>
      </c>
      <c r="BG10" s="768">
        <f>IF(ISNUMBER(Datos!K10/Datos!J10),Datos!K10/Datos!J10," - ")</f>
        <v>1.1295116772823779</v>
      </c>
      <c r="BH10" s="769">
        <f>IF(ISNUMBER(((Datos!L10/Datos!K10)*11)/factor_trimestre),((Datos!L10/Datos!K10)*11)/factor_trimestre," - ")</f>
        <v>4.2180451127819545</v>
      </c>
      <c r="BI10" s="768"/>
      <c r="BJ10" s="559" t="str">
        <f>IF(ISNUMBER(Datos!CI10/Datos!CJ10),Datos!CI10/Datos!CJ10," - ")</f>
        <v xml:space="preserve"> - </v>
      </c>
      <c r="BK10" s="753" t="str">
        <f>IF(ISNUMBER(Datos!CJ10),Datos!CJ10," - ")</f>
        <v xml:space="preserve"> - </v>
      </c>
      <c r="BL10" s="559" t="str">
        <f>IF(ISNUMBER((I10-AB10+L10)/(F10)),(I10-AB10+L10)/(F10)," - ")</f>
        <v xml:space="preserve"> - </v>
      </c>
      <c r="BM10" s="772">
        <f>IF(ISNUMBER((Datos!P10-Datos!Q10+Datos!DE10)/(Datos!R10-Datos!P10+Datos!Q10-Datos!DE10)),(Datos!P10-Datos!Q10+Datos!DE10)/(Datos!R10-Datos!P10+Datos!Q10-Datos!DE10)," - ")</f>
        <v>-0.10094637223974763</v>
      </c>
      <c r="BN10" s="758"/>
      <c r="BO10" s="758"/>
      <c r="BP10" s="721" t="str">
        <f>IF(ISNUMBER(Datos!CW10),Datos!CW10," - ")</f>
        <v xml:space="preserve"> - </v>
      </c>
      <c r="BQ10" s="721"/>
      <c r="BR10" s="721">
        <f>Datos!CX10</f>
        <v>0</v>
      </c>
      <c r="BS10" s="561">
        <f>Datos!DU10</f>
        <v>0</v>
      </c>
      <c r="BT10" s="1476">
        <f>Datos!ER10/factor_trimestre</f>
        <v>1600</v>
      </c>
    </row>
    <row r="11" spans="1:72" s="582" customFormat="1" ht="14.25">
      <c r="A11" s="749">
        <f>Datos!AO11</f>
        <v>4</v>
      </c>
      <c r="B11" s="750" t="s">
        <v>324</v>
      </c>
      <c r="C11" s="751" t="str">
        <f>Datos!A11</f>
        <v xml:space="preserve">Jdos. Familia                                   </v>
      </c>
      <c r="D11" s="605"/>
      <c r="E11" s="553">
        <f>IF(ISNUMBER(Datos!AQ11),Datos!AQ11," - ")</f>
        <v>4</v>
      </c>
      <c r="F11" s="556" t="str">
        <f>IF(ISNUMBER(AF11+AB11-I11-L11),AF11+AB11-I11-L11," - ")</f>
        <v xml:space="preserve"> - </v>
      </c>
      <c r="G11" s="547" t="str">
        <f>IF(ISNUMBER(IF(J_V="SI",Datos!I11,Datos!I11+Datos!Y11)-IF(Monitorios="SI",Datos!CA11,0)),
                          IF(J_V="SI",Datos!I11,Datos!I11+Datos!Y11)-IF(Monitorios="SI",Datos!CA11,0),
                          " - ")</f>
        <v xml:space="preserve"> - </v>
      </c>
      <c r="H11" s="551"/>
      <c r="I11" s="556" t="str">
        <f>IF(ISNUMBER(Datos!DC11),Datos!DC11," - ")</f>
        <v xml:space="preserve"> - </v>
      </c>
      <c r="J11" s="551" t="str">
        <f>IF(ISNUMBER(Datos!DB11),Datos!DB11," - ")</f>
        <v xml:space="preserve"> - </v>
      </c>
      <c r="K11" s="553" t="str">
        <f>IF(ISNUMBER(Datos!DD11),Datos!DD11," - ")</f>
        <v xml:space="preserve"> - </v>
      </c>
      <c r="L11" s="551">
        <f>IF(ISNUMBER(Datos!DF11),Datos!DF11,0)</f>
        <v>0</v>
      </c>
      <c r="M11" s="551">
        <f>IF(ISNUMBER(Datos!DM11),Datos!DM11,0)</f>
        <v>0</v>
      </c>
      <c r="N11" s="553">
        <f>IF(ISNUMBER(Datos!Z11),Datos!Z11," - ")</f>
        <v>402</v>
      </c>
      <c r="O11" s="553"/>
      <c r="P11" s="553"/>
      <c r="Q11" s="551">
        <f>IF(ISNUMBER(Datos!P11),Datos!P11,0)</f>
        <v>879</v>
      </c>
      <c r="R11" s="551" t="str">
        <f>IF(ISNUMBER(Datos!DE11),Datos!DE11," - ")</f>
        <v xml:space="preserve"> - </v>
      </c>
      <c r="S11" s="815"/>
      <c r="T11" s="815"/>
      <c r="U11" s="551" t="str">
        <f>IF(ISNUMBER(Datos!AS11/1),Datos!AS11/1," - ")</f>
        <v xml:space="preserve"> - </v>
      </c>
      <c r="V11" s="552" t="str">
        <f>IF(ISNUMBER(U11/(Datos!BM11/factor_trimestre)),U11/(Datos!BM11/factor_trimestre)," - ")</f>
        <v xml:space="preserve"> - </v>
      </c>
      <c r="W11" s="551" t="str">
        <f>IF(ISNUMBER(Datos!EO11),Datos!EO11," - ")</f>
        <v xml:space="preserve"> - </v>
      </c>
      <c r="X11" s="1327" t="e">
        <f>(W11/Datos!ER11)*factor_trimestre</f>
        <v>#VALUE!</v>
      </c>
      <c r="Y11" s="810"/>
      <c r="Z11" s="556">
        <f>IF(ISNUMBER(Datos!BY11+Datos!BZ11),Datos!BY11+Datos!BZ11," - ")</f>
        <v>0</v>
      </c>
      <c r="AA11" s="552">
        <f>IF(ISNUMBER((Z11*factor_trimestre)/DatosB!CN11),(Z11*factor_trimestre)/DatosB!CN11,"-")</f>
        <v>0</v>
      </c>
      <c r="AB11" s="556" t="str">
        <f>IF(ISNUMBER(IF(J_V="SI",Datos!K11,Datos!K11+Datos!AA11)-IF(Monitorios="SI",Datos!CC11,0)),
                          IF(J_V="SI",Datos!K11,Datos!K11+Datos!AA11)-IF(Monitorios="SI",Datos!CC11,0),
                          " - ")</f>
        <v xml:space="preserve"> - </v>
      </c>
      <c r="AC11" s="551">
        <f>IF(ISNUMBER(Datos!Q11),Datos!Q11," - ")</f>
        <v>1135</v>
      </c>
      <c r="AD11" s="553"/>
      <c r="AE11" s="567"/>
      <c r="AF11" s="555" t="str">
        <f>IF(ISNUMBER(IF(J_V="SI",Datos!L11,Datos!L11+Datos!AB11)-IF(Monitorios="SI",Datos!CD11,0)),
                          IF(J_V="SI",Datos!L11,Datos!L11+Datos!AB11)-IF(Monitorios="SI",Datos!CD11,0),
                          " - ")</f>
        <v xml:space="preserve"> - </v>
      </c>
      <c r="AG11" s="553"/>
      <c r="AH11" s="553">
        <f>IF(ISNUMBER(Datos!AB11),Datos!AB11,"-")</f>
        <v>130</v>
      </c>
      <c r="AI11" s="553"/>
      <c r="AJ11" s="553"/>
      <c r="AK11" s="553"/>
      <c r="AL11" s="554"/>
      <c r="AM11" s="771">
        <f>IF(ISNUMBER(Datos!R11),Datos!R11," - ")</f>
        <v>2366</v>
      </c>
      <c r="AN11" s="553"/>
      <c r="AO11" s="553"/>
      <c r="AP11" s="553"/>
      <c r="AQ11" s="553"/>
      <c r="AR11" s="553"/>
      <c r="AS11" s="553" t="str">
        <f>IF(ISNUMBER(Datos!BV11),Datos!BV11," - ")</f>
        <v xml:space="preserve"> - </v>
      </c>
      <c r="AT11" s="556" t="str">
        <f>IF(ISNUMBER(Datos!CK11),Datos!CK11," - ")</f>
        <v xml:space="preserve"> - </v>
      </c>
      <c r="AU11" s="557" t="str">
        <f>IF(ISNUMBER(Datos!CL11),Datos!CL11," - ")</f>
        <v xml:space="preserve"> - </v>
      </c>
      <c r="AV11" s="558" t="str">
        <f>IF(ISNUMBER(Datos!CM11),Datos!CM11," - ")</f>
        <v xml:space="preserve"> - </v>
      </c>
      <c r="AW11" s="557" t="str">
        <f>IF(ISNUMBER(Datos!DV11),Datos!DV11," - ")</f>
        <v xml:space="preserve"> - </v>
      </c>
      <c r="AX11" s="558" t="str">
        <f>IF(ISNUMBER(Datos!DW11),Datos!DW11," - ")</f>
        <v xml:space="preserve"> - </v>
      </c>
      <c r="AY11" s="557" t="str">
        <f>IF(ISNUMBER(Datos!DX11),Datos!DX11," - ")</f>
        <v xml:space="preserve"> - </v>
      </c>
      <c r="AZ11" s="558" t="str">
        <f>IF(ISNUMBER(Datos!DY11),Datos!DY11," - ")</f>
        <v xml:space="preserve"> - </v>
      </c>
      <c r="BA11" s="557"/>
      <c r="BB11" s="558"/>
      <c r="BC11" s="556">
        <f>IF(ISNUMBER(Datos!M11),Datos!M11," - ")</f>
        <v>2904</v>
      </c>
      <c r="BD11" s="697">
        <f>IF(ISNUMBER(Datos!N11),Datos!N11," - ")</f>
        <v>1571</v>
      </c>
      <c r="BE11" s="697" t="str">
        <f>IF(ISNUMBER(Datos!BW11),Datos!BW11," - ")</f>
        <v xml:space="preserve"> - </v>
      </c>
      <c r="BF11" s="767" t="str">
        <f>IF(ISNUMBER(Datos!BX11),Datos!BX11," - ")</f>
        <v xml:space="preserve"> - </v>
      </c>
      <c r="BG11" s="768">
        <f>IF(ISNUMBER(IF(J_V="SI",Datos!K11/Datos!J11,(Datos!K11+Datos!AA11)/(Datos!J11+Datos!Z11))),IF(J_V="SI",Datos!K11/Datos!J11,(Datos!K11+Datos!AA11)/(Datos!J11+Datos!Z11))," - ")</f>
        <v>1.1227323213624583</v>
      </c>
      <c r="BH11" s="769">
        <f>IF(ISNUMBER(((IF(J_V="SI",Datos!L11/Datos!K11,(Datos!L11+Datos!AB11)/(Datos!K11+Datos!AA11)))*11)/factor_trimestre),((IF(J_V="SI",Datos!L11/Datos!K11,(Datos!L11+Datos!AB11)/(Datos!K11+Datos!AA11)))*11)/factor_trimestre," - ")</f>
        <v>4.7373454245671889</v>
      </c>
      <c r="BI11" s="768"/>
      <c r="BJ11" s="559" t="str">
        <f>IF(ISNUMBER(Datos!CI11/Datos!CJ11),Datos!CI11/Datos!CJ11," - ")</f>
        <v xml:space="preserve"> - </v>
      </c>
      <c r="BK11" s="753" t="str">
        <f>IF(ISNUMBER(Datos!CJ11),Datos!CJ11," - ")</f>
        <v xml:space="preserve"> - </v>
      </c>
      <c r="BL11" s="559" t="str">
        <f>IF(ISNUMBER((J11-AB11+L11)/(F11)),(J11-AB11+L11)/(F11)," - ")</f>
        <v xml:space="preserve"> - </v>
      </c>
      <c r="BM11" s="772">
        <f>IF(ISNUMBER((Datos!P11-Datos!Q11+Datos!DE11)/(Datos!R11-Datos!P11+Datos!Q11-Datos!DE11)),(Datos!P11-Datos!Q11+Datos!DE11)/(Datos!R11-Datos!P11+Datos!Q11-Datos!DE11)," - ")</f>
        <v>-9.7635392829900844E-2</v>
      </c>
      <c r="BN11" s="758"/>
      <c r="BO11" s="758"/>
      <c r="BP11" s="721" t="str">
        <f>IF(ISNUMBER(Datos!CW11),Datos!CW11," - ")</f>
        <v xml:space="preserve"> - </v>
      </c>
      <c r="BQ11" s="721"/>
      <c r="BR11" s="721">
        <f>Datos!CX11</f>
        <v>0</v>
      </c>
      <c r="BS11" s="561">
        <f>Datos!DU11</f>
        <v>0</v>
      </c>
      <c r="BT11" s="1476">
        <f>Datos!ER11/factor_trimestre</f>
        <v>1323</v>
      </c>
    </row>
    <row r="12" spans="1:72" s="582" customFormat="1" ht="14.25">
      <c r="A12" s="749">
        <f>Datos!AO12</f>
        <v>0</v>
      </c>
      <c r="B12" s="750" t="s">
        <v>324</v>
      </c>
      <c r="C12" s="751" t="str">
        <f>Datos!A12</f>
        <v xml:space="preserve">Jdos. 1ª Instª. e Instr.                        </v>
      </c>
      <c r="D12" s="605"/>
      <c r="E12" s="553">
        <f>IF(ISNUMBER(Datos!AQ12),Datos!AQ12," - ")</f>
        <v>0</v>
      </c>
      <c r="F12" s="556" t="str">
        <f>IF(ISNUMBER(AF12+AB12-I12-L12),AF12+AB12-I12-L12," - ")</f>
        <v xml:space="preserve"> - </v>
      </c>
      <c r="G12" s="547" t="str">
        <f>IF(ISNUMBER(IF(J_V="SI",Datos!I12,Datos!I12+Datos!Y12)-IF(Monitorios="SI",Datos!CA12,0)),
                          IF(J_V="SI",Datos!I12,Datos!I12+Datos!Y12)-IF(Monitorios="SI",Datos!CA12,0),
                          " - ")</f>
        <v xml:space="preserve"> - </v>
      </c>
      <c r="H12" s="551"/>
      <c r="I12" s="556" t="str">
        <f>IF(ISNUMBER(Datos!DC12),Datos!DC12," - ")</f>
        <v xml:space="preserve"> - </v>
      </c>
      <c r="J12" s="551" t="str">
        <f>IF(ISNUMBER(Datos!DB12),Datos!DB12," - ")</f>
        <v xml:space="preserve"> - </v>
      </c>
      <c r="K12" s="553" t="str">
        <f>IF(ISNUMBER(Datos!DD12),Datos!DD12," - ")</f>
        <v xml:space="preserve"> - </v>
      </c>
      <c r="L12" s="551">
        <f>IF(ISNUMBER(Datos!DF12),Datos!DF12,0)</f>
        <v>0</v>
      </c>
      <c r="M12" s="551">
        <f>IF(ISNUMBER(Datos!DM12),Datos!DM12,0)</f>
        <v>0</v>
      </c>
      <c r="N12" s="553" t="str">
        <f>IF(ISNUMBER(Datos!Z12),Datos!Z12," - ")</f>
        <v xml:space="preserve"> - </v>
      </c>
      <c r="O12" s="553"/>
      <c r="P12" s="553"/>
      <c r="Q12" s="551">
        <f>IF(ISNUMBER(Datos!P12),Datos!P12,0)</f>
        <v>0</v>
      </c>
      <c r="R12" s="551" t="str">
        <f>IF(ISNUMBER(Datos!DE12),Datos!DE12," - ")</f>
        <v xml:space="preserve"> - </v>
      </c>
      <c r="S12" s="815"/>
      <c r="T12" s="815"/>
      <c r="U12" s="551" t="str">
        <f>IF(ISNUMBER(Datos!AS12/1),Datos!AS12/1," - ")</f>
        <v xml:space="preserve"> - </v>
      </c>
      <c r="V12" s="552" t="str">
        <f>IF(ISNUMBER(U12/(Datos!BM12/factor_trimestre)),U12/(Datos!BM12/factor_trimestre)," - ")</f>
        <v xml:space="preserve"> - </v>
      </c>
      <c r="W12" s="551" t="str">
        <f>IF(ISNUMBER(Datos!EO12),Datos!EO12," - ")</f>
        <v xml:space="preserve"> - </v>
      </c>
      <c r="X12" s="1327" t="e">
        <f>(W12/Datos!ER12)*factor_trimestre</f>
        <v>#VALUE!</v>
      </c>
      <c r="Y12" s="810" t="str">
        <f>IF(ISNUMBER(Datos!CB12),Datos!CB12," - ")</f>
        <v xml:space="preserve"> - </v>
      </c>
      <c r="Z12" s="556" t="str">
        <f>IF(ISNUMBER(Datos!BY12),Datos!BY12," - ")</f>
        <v xml:space="preserve"> - </v>
      </c>
      <c r="AA12" s="552" t="str">
        <f>IF(ISNUMBER((Z12*factor_trimestre)/DatosB!CN12),(Z12*factor_trimestre)/DatosB!CN12,"-")</f>
        <v>-</v>
      </c>
      <c r="AB12" s="556" t="str">
        <f>IF(ISNUMBER(IF(J_V="SI",Datos!K12,Datos!K12+Datos!AA12)-IF(Monitorios="SI",Datos!CC12,0)),
                          IF(J_V="SI",Datos!K12,Datos!K12+Datos!AA12)-IF(Monitorios="SI",Datos!CC12,0),
                          " - ")</f>
        <v xml:space="preserve"> - </v>
      </c>
      <c r="AC12" s="551" t="str">
        <f>IF(ISNUMBER(Datos!Q12),Datos!Q12," - ")</f>
        <v xml:space="preserve"> - </v>
      </c>
      <c r="AD12" s="553" t="str">
        <f>IF(ISNUMBER(Datos!CC12),Datos!CC12," - ")</f>
        <v xml:space="preserve"> - </v>
      </c>
      <c r="AE12" s="567" t="str">
        <f>IF(ISNUMBER(Datos!EM12),Datos!EM12," - ")</f>
        <v xml:space="preserve"> - </v>
      </c>
      <c r="AF12" s="555" t="str">
        <f>IF(ISNUMBER(IF(J_V="SI",Datos!L12,Datos!L12+Datos!AB12)-IF(Monitorios="SI",Datos!CD12,0)),
                          IF(J_V="SI",Datos!L12,Datos!L12+Datos!AB12)-IF(Monitorios="SI",Datos!CD12,0),
                          " - ")</f>
        <v xml:space="preserve"> - </v>
      </c>
      <c r="AG12" s="553"/>
      <c r="AH12" s="553" t="str">
        <f>IF(ISNUMBER(Datos!AB12),Datos!AB12,"-")</f>
        <v>-</v>
      </c>
      <c r="AI12" s="553" t="str">
        <f>IF(ISNUMBER(Datos!CD12),Datos!CD12,"-")</f>
        <v>-</v>
      </c>
      <c r="AJ12" s="553" t="str">
        <f>IF(ISNUMBER(Datos!EN12),Datos!EN12," - ")</f>
        <v xml:space="preserve"> - </v>
      </c>
      <c r="AK12" s="553"/>
      <c r="AL12" s="554"/>
      <c r="AM12" s="771" t="str">
        <f>IF(ISNUMBER(Datos!R12),Datos!R12," - ")</f>
        <v xml:space="preserve"> - </v>
      </c>
      <c r="AN12" s="553"/>
      <c r="AO12" s="553"/>
      <c r="AP12" s="553"/>
      <c r="AQ12" s="553"/>
      <c r="AR12" s="553"/>
      <c r="AS12" s="553" t="str">
        <f>IF(ISNUMBER(Datos!BV12),Datos!BV12," - ")</f>
        <v xml:space="preserve"> - </v>
      </c>
      <c r="AT12" s="556" t="str">
        <f>IF(ISNUMBER(Datos!CK12),Datos!CK12," - ")</f>
        <v xml:space="preserve"> - </v>
      </c>
      <c r="AU12" s="557" t="str">
        <f>IF(ISNUMBER(Datos!CL12),Datos!CL12," - ")</f>
        <v xml:space="preserve"> - </v>
      </c>
      <c r="AV12" s="558" t="str">
        <f>IF(ISNUMBER(Datos!CM12),Datos!CM12," - ")</f>
        <v xml:space="preserve"> - </v>
      </c>
      <c r="AW12" s="557" t="str">
        <f>IF(ISNUMBER(Datos!DV12),Datos!DV12," - ")</f>
        <v xml:space="preserve"> - </v>
      </c>
      <c r="AX12" s="558" t="str">
        <f>IF(ISNUMBER(Datos!DW12),Datos!DW12," - ")</f>
        <v xml:space="preserve"> - </v>
      </c>
      <c r="AY12" s="557" t="str">
        <f>IF(ISNUMBER(Datos!DX12),Datos!DX12," - ")</f>
        <v xml:space="preserve"> - </v>
      </c>
      <c r="AZ12" s="558" t="str">
        <f>IF(ISNUMBER(Datos!DY12),Datos!DY12," - ")</f>
        <v xml:space="preserve"> - </v>
      </c>
      <c r="BA12" s="557"/>
      <c r="BB12" s="558"/>
      <c r="BC12" s="556" t="str">
        <f>IF(ISNUMBER(Datos!M12),Datos!M12," - ")</f>
        <v xml:space="preserve"> - </v>
      </c>
      <c r="BD12" s="697" t="str">
        <f>IF(ISNUMBER(Datos!N12),Datos!N12," - ")</f>
        <v xml:space="preserve"> - </v>
      </c>
      <c r="BE12" s="697" t="str">
        <f>IF(ISNUMBER(Datos!BW12),Datos!BW12," - ")</f>
        <v xml:space="preserve"> - </v>
      </c>
      <c r="BF12" s="767" t="str">
        <f>IF(ISNUMBER(Datos!BX12),Datos!BX12," - ")</f>
        <v xml:space="preserve"> - </v>
      </c>
      <c r="BG12" s="768" t="str">
        <f>IF(ISNUMBER(IF(J_V="SI",Datos!K12/Datos!J12,(Datos!K12+Datos!AA12)/(Datos!J12+Datos!Z12))),IF(J_V="SI",Datos!K12/Datos!J12,(Datos!K12+Datos!AA12)/(Datos!J12+Datos!Z12))," - ")</f>
        <v xml:space="preserve"> - </v>
      </c>
      <c r="BH12" s="769" t="str">
        <f>IF(ISNUMBER(((IF(J_V="SI",Datos!L12/Datos!K12,(Datos!L12+Datos!AB12)/(Datos!K12+Datos!AA12)))*11)/factor_trimestre),((IF(J_V="SI",Datos!L12/Datos!K12,(Datos!L12+Datos!AB12)/(Datos!K12+Datos!AA12)))*11)/factor_trimestre," - ")</f>
        <v xml:space="preserve"> - </v>
      </c>
      <c r="BI12" s="768"/>
      <c r="BJ12" s="559" t="str">
        <f>IF(ISNUMBER(Datos!CI12/Datos!CJ12),Datos!CI12/Datos!CJ12," - ")</f>
        <v xml:space="preserve"> - </v>
      </c>
      <c r="BK12" s="753" t="str">
        <f>IF(ISNUMBER(Datos!CJ12),Datos!CJ12," - ")</f>
        <v xml:space="preserve"> - </v>
      </c>
      <c r="BL12" s="559" t="str">
        <f>IF(ISNUMBER((J12-AB12+L12)/(F12)),(J12-AB12+L12)/(F12)," - ")</f>
        <v xml:space="preserve"> - </v>
      </c>
      <c r="BM12" s="772" t="str">
        <f>IF(ISNUMBER((Datos!P12-Datos!Q12+Datos!DE12)/(Datos!R12-Datos!P12+Datos!Q12-Datos!DE12)),(Datos!P12-Datos!Q12+Datos!DE12)/(Datos!R12-Datos!P12+Datos!Q12-Datos!DE12)," - ")</f>
        <v xml:space="preserve"> - </v>
      </c>
      <c r="BN12" s="758"/>
      <c r="BO12" s="758"/>
      <c r="BP12" s="721" t="str">
        <f>IF(ISNUMBER(Datos!CW12),Datos!CW12," - ")</f>
        <v xml:space="preserve"> - </v>
      </c>
      <c r="BQ12" s="721"/>
      <c r="BR12" s="721">
        <f>Datos!CX12</f>
        <v>0</v>
      </c>
      <c r="BS12" s="561">
        <f>Datos!DU12</f>
        <v>0</v>
      </c>
      <c r="BT12" s="1476">
        <f>Datos!ER12/factor_trimestre</f>
        <v>680</v>
      </c>
    </row>
    <row r="13" spans="1:72" s="582" customFormat="1" ht="15" thickBot="1">
      <c r="A13" s="749">
        <f>Datos!AO13</f>
        <v>0</v>
      </c>
      <c r="B13" s="750" t="s">
        <v>324</v>
      </c>
      <c r="C13" s="751" t="str">
        <f>Datos!A13</f>
        <v xml:space="preserve">Jdos. de Menores    </v>
      </c>
      <c r="D13" s="605"/>
      <c r="E13" s="553">
        <f>IF(ISNUMBER(Datos!AQ13),Datos!AQ13," - ")</f>
        <v>0</v>
      </c>
      <c r="F13" s="556" t="str">
        <f>IF(ISNUMBER(Datos!L13+Datos!K13-Datos!J13-L13),Datos!L13+Datos!K13-Datos!J13-L13," - ")</f>
        <v xml:space="preserve"> - </v>
      </c>
      <c r="G13" s="547" t="str">
        <f>IF(ISNUMBER(Datos!I13),Datos!I13," - ")</f>
        <v xml:space="preserve"> - </v>
      </c>
      <c r="H13" s="551"/>
      <c r="I13" s="556" t="str">
        <f>IF(ISNUMBER(Datos!DB13),Datos!DB13," - ")</f>
        <v xml:space="preserve"> - </v>
      </c>
      <c r="J13" s="551" t="str">
        <f>IF(ISNUMBER(Datos!DC13),Datos!DC13," - ")</f>
        <v xml:space="preserve"> - </v>
      </c>
      <c r="K13" s="553" t="str">
        <f>IF(ISNUMBER(Datos!DD13),Datos!DD13," - ")</f>
        <v xml:space="preserve"> - </v>
      </c>
      <c r="L13" s="551">
        <f>IF(ISNUMBER(Datos!DF13),Datos!DF13,0)</f>
        <v>0</v>
      </c>
      <c r="M13" s="551">
        <f>IF(ISNUMBER(Datos!DM13),Datos!DM13,0)</f>
        <v>0</v>
      </c>
      <c r="N13" s="553"/>
      <c r="O13" s="553"/>
      <c r="P13" s="553"/>
      <c r="Q13" s="551">
        <f>IF(ISNUMBER(Datos!P13),Datos!P13,0)</f>
        <v>0</v>
      </c>
      <c r="R13" s="551" t="str">
        <f>IF(ISNUMBER(Datos!DE13),Datos!DE13," - ")</f>
        <v xml:space="preserve"> - </v>
      </c>
      <c r="S13" s="815"/>
      <c r="T13" s="815"/>
      <c r="U13" s="551" t="str">
        <f>IF(ISNUMBER(Datos!AS13/1),Datos!AS13/1," - ")</f>
        <v xml:space="preserve"> - </v>
      </c>
      <c r="V13" s="552" t="str">
        <f>IF(ISNUMBER(U13/(Datos!BM13/factor_trimestre)),U13/(Datos!BM13/factor_trimestre)," - ")</f>
        <v xml:space="preserve"> - </v>
      </c>
      <c r="W13" s="551" t="str">
        <f>IF(ISNUMBER(Datos!EO13),Datos!EO13," - ")</f>
        <v xml:space="preserve"> - </v>
      </c>
      <c r="X13" s="1327" t="e">
        <f>(W13/Datos!ER13)*factor_trimestre</f>
        <v>#VALUE!</v>
      </c>
      <c r="Y13" s="810"/>
      <c r="Z13" s="556" t="str">
        <f>IF(ISNUMBER(Datos!BY13),Datos!BY13," - ")</f>
        <v xml:space="preserve"> - </v>
      </c>
      <c r="AA13" s="552" t="str">
        <f>IF(ISNUMBER((Z13*factor_trimestre)/DatosB!CN13),(Z13*factor_trimestre)/DatosB!CN13,"-")</f>
        <v>-</v>
      </c>
      <c r="AB13" s="556" t="str">
        <f>IF(ISNUMBER(Datos!K13),Datos!K13," - ")</f>
        <v xml:space="preserve"> - </v>
      </c>
      <c r="AC13" s="551" t="str">
        <f>IF(ISNUMBER(Datos!Q13),Datos!Q13," - ")</f>
        <v xml:space="preserve"> - </v>
      </c>
      <c r="AD13" s="553"/>
      <c r="AE13" s="567"/>
      <c r="AF13" s="555" t="str">
        <f>IF(ISNUMBER(Datos!L13),Datos!L13,"-")</f>
        <v>-</v>
      </c>
      <c r="AG13" s="553"/>
      <c r="AH13" s="553"/>
      <c r="AI13" s="553"/>
      <c r="AJ13" s="553"/>
      <c r="AK13" s="553"/>
      <c r="AL13" s="554"/>
      <c r="AM13" s="771" t="str">
        <f>IF(ISNUMBER(Datos!R13),Datos!R13," - ")</f>
        <v xml:space="preserve"> - </v>
      </c>
      <c r="AN13" s="553"/>
      <c r="AO13" s="553"/>
      <c r="AP13" s="553"/>
      <c r="AQ13" s="553"/>
      <c r="AR13" s="553"/>
      <c r="AS13" s="553" t="str">
        <f>IF(ISNUMBER(Datos!BV13),Datos!BV13," - ")</f>
        <v xml:space="preserve"> - </v>
      </c>
      <c r="AT13" s="556" t="str">
        <f>IF(ISNUMBER(Datos!CK13),Datos!CK13," - ")</f>
        <v xml:space="preserve"> - </v>
      </c>
      <c r="AU13" s="557" t="str">
        <f>IF(ISNUMBER(Datos!CL13),Datos!CL13," - ")</f>
        <v xml:space="preserve"> - </v>
      </c>
      <c r="AV13" s="558" t="str">
        <f>IF(ISNUMBER(Datos!CM13),Datos!CM13," - ")</f>
        <v xml:space="preserve"> - </v>
      </c>
      <c r="AW13" s="557" t="str">
        <f>IF(ISNUMBER(Datos!DV13),Datos!DV13," - ")</f>
        <v xml:space="preserve"> - </v>
      </c>
      <c r="AX13" s="558" t="str">
        <f>IF(ISNUMBER(Datos!DW13),Datos!DW13," - ")</f>
        <v xml:space="preserve"> - </v>
      </c>
      <c r="AY13" s="557" t="str">
        <f>IF(ISNUMBER(Datos!DX13),Datos!DX13," - ")</f>
        <v xml:space="preserve"> - </v>
      </c>
      <c r="AZ13" s="558" t="str">
        <f>IF(ISNUMBER(Datos!DY13),Datos!DY13," - ")</f>
        <v xml:space="preserve"> - </v>
      </c>
      <c r="BA13" s="557"/>
      <c r="BB13" s="558"/>
      <c r="BC13" s="556" t="str">
        <f>IF(ISNUMBER(Datos!M13),Datos!M13," - ")</f>
        <v xml:space="preserve"> - </v>
      </c>
      <c r="BD13" s="697" t="str">
        <f>IF(ISNUMBER(Datos!N13),Datos!N13," - ")</f>
        <v xml:space="preserve"> - </v>
      </c>
      <c r="BE13" s="697" t="str">
        <f>IF(ISNUMBER(Datos!BW13),Datos!BW13," - ")</f>
        <v xml:space="preserve"> - </v>
      </c>
      <c r="BF13" s="767" t="str">
        <f>IF(ISNUMBER(Datos!BX13),Datos!BX13," - ")</f>
        <v xml:space="preserve"> - </v>
      </c>
      <c r="BG13" s="768" t="str">
        <f>IF(ISNUMBER(Datos!K13/Datos!J13),Datos!K13/Datos!J13," - ")</f>
        <v xml:space="preserve"> - </v>
      </c>
      <c r="BH13" s="769" t="str">
        <f>IF(ISNUMBER(((Datos!L13/Datos!K13)*11)/factor_trimestre),((Datos!L13/Datos!K13)*11)/factor_trimestre," - ")</f>
        <v xml:space="preserve"> - </v>
      </c>
      <c r="BI13" s="768"/>
      <c r="BJ13" s="559" t="str">
        <f>IF(ISNUMBER(Datos!CI13/Datos!CJ13),Datos!CI13/Datos!CJ13," - ")</f>
        <v xml:space="preserve"> - </v>
      </c>
      <c r="BK13" s="753" t="str">
        <f>IF(ISNUMBER(Datos!CJ13),Datos!CJ13," - ")</f>
        <v xml:space="preserve"> - </v>
      </c>
      <c r="BL13" s="559" t="str">
        <f t="shared" ref="BL13" si="0">IF(ISNUMBER((I13-AB13+L13)/(F13)),(I13-AB13+L13)/(F13)," - ")</f>
        <v xml:space="preserve"> - </v>
      </c>
      <c r="BM13" s="772" t="str">
        <f>IF(ISNUMBER((Datos!P13-Datos!Q13+Datos!DE13)/(Datos!R13-Datos!P13+Datos!Q13-Datos!DE13)),(Datos!P13-Datos!Q13+Datos!DE13)/(Datos!R13-Datos!P13+Datos!Q13-Datos!DE13)," - ")</f>
        <v xml:space="preserve"> - </v>
      </c>
      <c r="BN13" s="758"/>
      <c r="BO13" s="758"/>
      <c r="BP13" s="721" t="str">
        <f>IF(ISNUMBER(Datos!CW13),Datos!CW13," - ")</f>
        <v xml:space="preserve"> - </v>
      </c>
      <c r="BQ13" s="721"/>
      <c r="BR13" s="721">
        <f>Datos!CX13</f>
        <v>0</v>
      </c>
      <c r="BS13" s="561">
        <f>Datos!DU13</f>
        <v>0</v>
      </c>
      <c r="BT13" s="1476">
        <f>Datos!ER13/factor_trimestre</f>
        <v>875</v>
      </c>
    </row>
    <row r="14" spans="1:72" ht="15.75" thickTop="1" thickBot="1">
      <c r="A14" s="191"/>
      <c r="B14" s="191"/>
      <c r="C14" s="1163" t="str">
        <f>Datos!A14</f>
        <v>TOTAL</v>
      </c>
      <c r="D14" s="1199"/>
      <c r="E14" s="1199">
        <f t="shared" ref="E14:Z14" si="1">SUBTOTAL(9,E8:E13)</f>
        <v>24</v>
      </c>
      <c r="F14" s="1200">
        <f t="shared" si="1"/>
        <v>265</v>
      </c>
      <c r="G14" s="1200">
        <f t="shared" si="1"/>
        <v>260</v>
      </c>
      <c r="H14" s="1201">
        <f t="shared" si="1"/>
        <v>0</v>
      </c>
      <c r="I14" s="1200">
        <f t="shared" si="1"/>
        <v>0</v>
      </c>
      <c r="J14" s="1167">
        <f t="shared" si="1"/>
        <v>0</v>
      </c>
      <c r="K14" s="1167">
        <f t="shared" si="1"/>
        <v>0</v>
      </c>
      <c r="L14" s="1201">
        <f t="shared" si="1"/>
        <v>0</v>
      </c>
      <c r="M14" s="1201">
        <f t="shared" si="1"/>
        <v>0</v>
      </c>
      <c r="N14" s="1201">
        <f t="shared" si="1"/>
        <v>4536</v>
      </c>
      <c r="O14" s="1202">
        <f t="shared" si="1"/>
        <v>0</v>
      </c>
      <c r="P14" s="1202">
        <f t="shared" si="1"/>
        <v>0</v>
      </c>
      <c r="Q14" s="1201">
        <f t="shared" si="1"/>
        <v>7702</v>
      </c>
      <c r="R14" s="1201">
        <f t="shared" si="1"/>
        <v>0</v>
      </c>
      <c r="S14" s="1203">
        <f t="shared" si="1"/>
        <v>0</v>
      </c>
      <c r="T14" s="1203">
        <f t="shared" si="1"/>
        <v>0</v>
      </c>
      <c r="U14" s="1201">
        <f t="shared" si="1"/>
        <v>0</v>
      </c>
      <c r="V14" s="1486">
        <f t="shared" si="1"/>
        <v>0</v>
      </c>
      <c r="W14" s="1167">
        <f t="shared" si="1"/>
        <v>0</v>
      </c>
      <c r="X14" s="1328" t="e">
        <f t="shared" si="1"/>
        <v>#VALUE!</v>
      </c>
      <c r="Y14" s="1202">
        <f t="shared" si="1"/>
        <v>0</v>
      </c>
      <c r="Z14" s="1201">
        <f t="shared" si="1"/>
        <v>0</v>
      </c>
      <c r="AA14" s="1204">
        <f>IF(ISNUMBER((Z14*factor_trimestre)/Datos!CN14),(Z14*factor_trimestre)/Datos!CN14,"-")</f>
        <v>0</v>
      </c>
      <c r="AB14" s="1201">
        <f t="shared" ref="AB14:BF14" si="2">SUBTOTAL(9,AB8:AB13)</f>
        <v>532</v>
      </c>
      <c r="AC14" s="1201">
        <f t="shared" si="2"/>
        <v>10112</v>
      </c>
      <c r="AD14" s="1201">
        <f t="shared" si="2"/>
        <v>0</v>
      </c>
      <c r="AE14" s="1201">
        <f t="shared" si="2"/>
        <v>0</v>
      </c>
      <c r="AF14" s="1201">
        <f t="shared" si="2"/>
        <v>204</v>
      </c>
      <c r="AG14" s="1201">
        <f t="shared" si="2"/>
        <v>0</v>
      </c>
      <c r="AH14" s="1201">
        <f t="shared" si="2"/>
        <v>756</v>
      </c>
      <c r="AI14" s="1201">
        <f t="shared" si="2"/>
        <v>0</v>
      </c>
      <c r="AJ14" s="1201">
        <f t="shared" si="2"/>
        <v>0</v>
      </c>
      <c r="AK14" s="1201">
        <f t="shared" si="2"/>
        <v>0</v>
      </c>
      <c r="AL14" s="1201">
        <f t="shared" si="2"/>
        <v>0</v>
      </c>
      <c r="AM14" s="1201">
        <f t="shared" si="2"/>
        <v>24402</v>
      </c>
      <c r="AN14" s="1201">
        <f t="shared" si="2"/>
        <v>0</v>
      </c>
      <c r="AO14" s="1201">
        <f t="shared" si="2"/>
        <v>0</v>
      </c>
      <c r="AP14" s="1201">
        <f t="shared" si="2"/>
        <v>0</v>
      </c>
      <c r="AQ14" s="1201">
        <f t="shared" si="2"/>
        <v>0</v>
      </c>
      <c r="AR14" s="1201">
        <f t="shared" si="2"/>
        <v>0</v>
      </c>
      <c r="AS14" s="1201">
        <f t="shared" si="2"/>
        <v>0</v>
      </c>
      <c r="AT14" s="1201">
        <f t="shared" si="2"/>
        <v>0</v>
      </c>
      <c r="AU14" s="1201">
        <f t="shared" si="2"/>
        <v>0</v>
      </c>
      <c r="AV14" s="1201">
        <f t="shared" si="2"/>
        <v>0</v>
      </c>
      <c r="AW14" s="1201">
        <f t="shared" si="2"/>
        <v>0</v>
      </c>
      <c r="AX14" s="1201">
        <f t="shared" si="2"/>
        <v>0</v>
      </c>
      <c r="AY14" s="1201">
        <f t="shared" si="2"/>
        <v>0</v>
      </c>
      <c r="AZ14" s="1201">
        <f t="shared" si="2"/>
        <v>0</v>
      </c>
      <c r="BA14" s="1201">
        <f t="shared" si="2"/>
        <v>0</v>
      </c>
      <c r="BB14" s="1201">
        <f t="shared" si="2"/>
        <v>0</v>
      </c>
      <c r="BC14" s="1201">
        <f t="shared" si="2"/>
        <v>11947</v>
      </c>
      <c r="BD14" s="1201">
        <f t="shared" si="2"/>
        <v>21999</v>
      </c>
      <c r="BE14" s="1201">
        <f t="shared" si="2"/>
        <v>0</v>
      </c>
      <c r="BF14" s="1201">
        <f t="shared" si="2"/>
        <v>0</v>
      </c>
      <c r="BG14" s="1201">
        <f>IF(ISNUMBER(Datos!K14/Datos!J14),Datos!K14/Datos!J14," - ")</f>
        <v>1.0485963610307854</v>
      </c>
      <c r="BH14" s="1205">
        <f>IF(ISNUMBER(((Datos!L14/Datos!K14)*11)/factor_trimestre),((Datos!L14/Datos!K14)*11)/factor_trimestre," - ")</f>
        <v>6.9767424834049194</v>
      </c>
      <c r="BI14" s="1201">
        <f>IF(ISNUMBER('Resol  Asuntos'!D14/NºAsuntos!G14),'Resol  Asuntos'!D14/NºAsuntos!G14," - ")</f>
        <v>0.26415636677206095</v>
      </c>
      <c r="BJ14" s="1201" t="str">
        <f>IF(ISNUMBER(Datos!CI14/Datos!CJ14),Datos!CI14/Datos!CJ14," - ")</f>
        <v xml:space="preserve"> - </v>
      </c>
      <c r="BK14" s="1201">
        <f>SUBTOTAL(9,BK8:BK13)</f>
        <v>0</v>
      </c>
      <c r="BL14" s="1201">
        <f>IF(ISNUMBER((I14-AB14+L14)/(F14)),(I14-AB14+L14)/(F14)," - ")</f>
        <v>-2.0075471698113208</v>
      </c>
      <c r="BM14" s="1206">
        <f>SUBTOTAL(9,BM9:BM13)</f>
        <v>-0.28746879225517186</v>
      </c>
      <c r="BN14" s="1201">
        <f t="shared" ref="BN14:BT14" si="3">SUBTOTAL(9,BN8:BN13)</f>
        <v>0</v>
      </c>
      <c r="BO14" s="1201">
        <f t="shared" si="3"/>
        <v>0</v>
      </c>
      <c r="BP14" s="1201">
        <f t="shared" si="3"/>
        <v>0</v>
      </c>
      <c r="BQ14" s="1201">
        <f t="shared" si="3"/>
        <v>0</v>
      </c>
      <c r="BR14" s="1201">
        <f t="shared" si="3"/>
        <v>0</v>
      </c>
      <c r="BS14" s="1201">
        <f t="shared" si="3"/>
        <v>0</v>
      </c>
      <c r="BT14" s="1215">
        <f t="shared" si="3"/>
        <v>5678</v>
      </c>
    </row>
    <row r="15" spans="1:72" ht="15" thickTop="1">
      <c r="A15" s="608"/>
      <c r="B15" s="608"/>
      <c r="C15" s="311" t="str">
        <f>Datos!A15</f>
        <v xml:space="preserve">Jurisdicción Penal ( 2 ):                      </v>
      </c>
      <c r="D15" s="610"/>
      <c r="E15" s="611"/>
      <c r="F15" s="612"/>
      <c r="G15" s="613"/>
      <c r="H15" s="591"/>
      <c r="I15" s="590"/>
      <c r="J15" s="231"/>
      <c r="K15" s="231"/>
      <c r="L15" s="591"/>
      <c r="M15" s="240"/>
      <c r="N15" s="253"/>
      <c r="O15" s="591"/>
      <c r="P15" s="591"/>
      <c r="Q15" s="240"/>
      <c r="R15" s="240"/>
      <c r="S15" s="592"/>
      <c r="T15" s="592"/>
      <c r="U15" s="240"/>
      <c r="V15" s="379"/>
      <c r="W15" s="326"/>
      <c r="X15" s="1329"/>
      <c r="Y15" s="765"/>
      <c r="Z15" s="239"/>
      <c r="AA15" s="548"/>
      <c r="AB15" s="239"/>
      <c r="AC15" s="240"/>
      <c r="AD15" s="253"/>
      <c r="AE15" s="253"/>
      <c r="AF15" s="590"/>
      <c r="AG15" s="374"/>
      <c r="AH15" s="374"/>
      <c r="AI15" s="374"/>
      <c r="AJ15" s="374"/>
      <c r="AK15" s="374"/>
      <c r="AL15" s="549"/>
      <c r="AM15" s="375"/>
      <c r="AN15" s="374"/>
      <c r="AO15" s="374"/>
      <c r="AP15" s="374"/>
      <c r="AQ15" s="374"/>
      <c r="AR15" s="374"/>
      <c r="AS15" s="374"/>
      <c r="AT15" s="239"/>
      <c r="AU15" s="324"/>
      <c r="AV15" s="241"/>
      <c r="AW15" s="324"/>
      <c r="AX15" s="241"/>
      <c r="AY15" s="324"/>
      <c r="AZ15" s="241"/>
      <c r="BA15" s="324"/>
      <c r="BB15" s="241"/>
      <c r="BC15" s="239"/>
      <c r="BD15" s="243"/>
      <c r="BE15" s="243"/>
      <c r="BF15" s="242"/>
      <c r="BG15" s="768"/>
      <c r="BH15" s="769"/>
      <c r="BI15" s="266"/>
      <c r="BJ15" s="244"/>
      <c r="BK15" s="407"/>
      <c r="BL15" s="244"/>
      <c r="BM15" s="332"/>
      <c r="BN15" s="728"/>
      <c r="BO15" s="728"/>
      <c r="BP15" s="290"/>
      <c r="BQ15" s="618"/>
      <c r="BR15" s="290"/>
      <c r="BS15" s="550"/>
      <c r="BT15" s="1477"/>
    </row>
    <row r="16" spans="1:72" s="748" customFormat="1" ht="14.25">
      <c r="A16" s="740">
        <f>Datos!AO16</f>
        <v>14</v>
      </c>
      <c r="B16" s="741" t="s">
        <v>515</v>
      </c>
      <c r="C16" s="754" t="str">
        <f>Datos!A16</f>
        <v xml:space="preserve">Jdos. Instrucción                               </v>
      </c>
      <c r="D16" s="755"/>
      <c r="E16" s="746">
        <f>IF(ISNUMBER(Datos!AQ16),Datos!AQ16," - ")</f>
        <v>14</v>
      </c>
      <c r="F16" s="744">
        <f>IF(ISNUMBER(AF16+AB16-Datos!J16-L16),AF16+AB16-Datos!J16-L16," - ")</f>
        <v>6112</v>
      </c>
      <c r="G16" s="747">
        <f>IF(ISNUMBER(IF(D_I="SI",Datos!I16,Datos!I16+Datos!AC16)),IF(D_I="SI",Datos!I16,Datos!I16+Datos!AC16)," - ")</f>
        <v>5463</v>
      </c>
      <c r="H16" s="756"/>
      <c r="I16" s="744" t="str">
        <f>IF(ISNUMBER(Datos!DC16),Datos!DC16," - ")</f>
        <v xml:space="preserve"> - </v>
      </c>
      <c r="J16" s="240" t="str">
        <f>IF(ISNUMBER(Datos!DC16),Datos!DC16," - ")</f>
        <v xml:space="preserve"> - </v>
      </c>
      <c r="K16" s="774"/>
      <c r="L16" s="756">
        <f>IF(ISNUMBER(Datos!DF16),Datos!DF16,0)</f>
        <v>0</v>
      </c>
      <c r="M16" s="240">
        <f>IF(ISNUMBER(Datos!DM16),Datos!DM16,0)</f>
        <v>0</v>
      </c>
      <c r="N16" s="553"/>
      <c r="O16" s="774" t="str">
        <f>IF(ISNUMBER(Datos!EB16),Datos!EB16," - ")</f>
        <v xml:space="preserve"> - </v>
      </c>
      <c r="P16" s="774" t="str">
        <f>IF(ISNUMBER(Datos!EC16),Datos!EC16," - ")</f>
        <v xml:space="preserve"> - </v>
      </c>
      <c r="Q16" s="240">
        <f>IF(ISNUMBER(Datos!P16),Datos!P16,0)</f>
        <v>1971</v>
      </c>
      <c r="R16" s="240" t="str">
        <f>IF(ISNUMBER(Datos!DE16),Datos!DE16," - ")</f>
        <v xml:space="preserve"> - </v>
      </c>
      <c r="S16" s="814" t="str">
        <f>IF(ISNUMBER(Datos!EB16*factor_trimestre/Datos!EE16),Datos!EB16*factor_trimestre/Datos!EE16," - ")</f>
        <v xml:space="preserve"> - </v>
      </c>
      <c r="T16" s="814" t="str">
        <f>IF(ISNUMBER(Datos!EC16*factor_trimestre/Datos!EF16),Datos!EC16*factor_trimestre/Datos!EF16," - ")</f>
        <v xml:space="preserve"> - </v>
      </c>
      <c r="U16" s="240" t="str">
        <f>IF(ISNUMBER((Datos!AS16+Datos!AT16)),(Datos!AS16+Datos!AT16)," - ")</f>
        <v xml:space="preserve"> - </v>
      </c>
      <c r="V16" s="379" t="str">
        <f>IF(ISNUMBER(U16/(Datos!BM16/factor_trimestre)),U16/(Datos!BM16/factor_trimestre)," - ")</f>
        <v xml:space="preserve"> - </v>
      </c>
      <c r="W16" s="551" t="str">
        <f>IF(ISNUMBER(Datos!EO16),Datos!EO16," - ")</f>
        <v xml:space="preserve"> - </v>
      </c>
      <c r="X16" s="1327" t="e">
        <f>(W16/Datos!ER16)*factor_trimestre</f>
        <v>#VALUE!</v>
      </c>
      <c r="Y16" s="812"/>
      <c r="Z16" s="239">
        <f>IF(ISNUMBER(Datos!BY16+Datos!BZ16*1.16),Datos!BY16+Datos!BZ16*1.16," - ")</f>
        <v>0</v>
      </c>
      <c r="AA16" s="379">
        <f>IF(ISNUMBER((Z16*factor_trimestre)/DatosB!CN16),(Z16*factor_trimestre)/DatosB!CN16,"-")</f>
        <v>0</v>
      </c>
      <c r="AB16" s="239">
        <f>IF(ISNUMBER(IF(D_I="SI",Datos!K16,Datos!K16+Datos!AE16)),IF(D_I="SI",Datos!K16,Datos!K16+Datos!AE16)," - ")</f>
        <v>71221</v>
      </c>
      <c r="AC16" s="240">
        <f>IF(ISNUMBER(Datos!Q16),Datos!Q16," - ")</f>
        <v>1980</v>
      </c>
      <c r="AD16" s="374"/>
      <c r="AE16" s="566"/>
      <c r="AF16" s="745">
        <f>IF(ISNUMBER(IF(D_I="SI",Datos!L16,Datos!L16+Datos!AF16)),IF(D_I="SI",Datos!L16,Datos!L16+Datos!AF16)," - ")</f>
        <v>5067</v>
      </c>
      <c r="AG16" s="374"/>
      <c r="AH16" s="374"/>
      <c r="AI16" s="374"/>
      <c r="AJ16" s="553"/>
      <c r="AK16" s="374"/>
      <c r="AL16" s="549"/>
      <c r="AM16" s="375">
        <f>IF(ISNUMBER(Datos!R16),Datos!R16," - ")</f>
        <v>1106</v>
      </c>
      <c r="AN16" s="374"/>
      <c r="AO16" s="374"/>
      <c r="AP16" s="374"/>
      <c r="AQ16" s="374"/>
      <c r="AR16" s="553"/>
      <c r="AS16" s="374" t="str">
        <f>IF(ISNUMBER(Datos!BV16),Datos!BV16," - ")</f>
        <v xml:space="preserve"> - </v>
      </c>
      <c r="AT16" s="239" t="str">
        <f>IF(ISNUMBER(Datos!CK16),Datos!CK16," - ")</f>
        <v xml:space="preserve"> - </v>
      </c>
      <c r="AU16" s="324" t="str">
        <f>IF(ISNUMBER(Datos!CL16),Datos!CL16," - ")</f>
        <v xml:space="preserve"> - </v>
      </c>
      <c r="AV16" s="241" t="str">
        <f>IF(ISNUMBER(Datos!CM16),Datos!CM16," - ")</f>
        <v xml:space="preserve"> - </v>
      </c>
      <c r="AW16" s="324" t="str">
        <f>IF(ISNUMBER(Datos!DV16),Datos!DV16," - ")</f>
        <v xml:space="preserve"> - </v>
      </c>
      <c r="AX16" s="241"/>
      <c r="AY16" s="324"/>
      <c r="AZ16" s="241"/>
      <c r="BA16" s="324"/>
      <c r="BB16" s="241"/>
      <c r="BC16" s="239">
        <f>IF(ISNUMBER(Datos!M16),Datos!M16," - ")</f>
        <v>5659</v>
      </c>
      <c r="BD16" s="243">
        <f>IF(ISNUMBER(Datos!N16),Datos!N16," - ")</f>
        <v>52679</v>
      </c>
      <c r="BE16" s="243" t="str">
        <f>IF(ISNUMBER(Datos!BW16),Datos!BW16," - ")</f>
        <v xml:space="preserve"> - </v>
      </c>
      <c r="BF16" s="242" t="str">
        <f>IF(ISNUMBER(Datos!BX16),Datos!BX16," - ")</f>
        <v xml:space="preserve"> - </v>
      </c>
      <c r="BG16" s="768">
        <f>IF(ISNUMBER(IF(D_I="SI",Datos!K16/Datos!J16,(Datos!K16+Datos!AE16)/(Datos!J16+Datos!AD16))),IF(D_I="SI",Datos!K16/Datos!J16,(Datos!K16+Datos!AE16)/(Datos!J16+Datos!AD16))," - ")</f>
        <v>1.014891130870953</v>
      </c>
      <c r="BH16" s="769">
        <f>IF(ISNUMBER(((IF(D_I="SI",Datos!L16/Datos!K16,(Datos!L16+Datos!AF16)/(Datos!K16+Datos!AE16)))*11)/factor_trimestre),((IF(D_I="SI",Datos!L16/Datos!K16,(Datos!L16+Datos!AF16)/(Datos!K16+Datos!AE16)))*11)/factor_trimestre," - ")</f>
        <v>0.78259221297089343</v>
      </c>
      <c r="BI16" s="266">
        <f>IF(ISNUMBER('Resol  Asuntos'!D16/NºAsuntos!G16),'Resol  Asuntos'!D16/NºAsuntos!G16," - ")</f>
        <v>7.9456901756504397E-2</v>
      </c>
      <c r="BJ16" s="244" t="str">
        <f>IF(ISNUMBER(Datos!CI16/Datos!CJ16),Datos!CI16/Datos!CJ16," - ")</f>
        <v xml:space="preserve"> - </v>
      </c>
      <c r="BK16" s="407"/>
      <c r="BL16" s="559" t="str">
        <f>IF(ISNUMBER((J16-AB16+L16)/(F16)),(J16-AB16+L16)/(F16)," - ")</f>
        <v xml:space="preserve"> - </v>
      </c>
      <c r="BM16" s="332" t="str">
        <f>IF(ISNUMBER((Datos!P16-Datos!Q16+R16)/(Datos!R16-Datos!P16+Datos!Q16-R16)),(Datos!P16-Datos!Q16+R16)/(Datos!R16-Datos!P16+Datos!Q16-R16)," - ")</f>
        <v xml:space="preserve"> - </v>
      </c>
      <c r="BN16" s="845" t="str">
        <f>IF(ISNUMBER(Datos!CS16),Datos!CS16," - ")</f>
        <v xml:space="preserve"> - </v>
      </c>
      <c r="BO16" s="845" t="str">
        <f>IF(ISNUMBER(Datos!EI16),Datos!EI16," - ")</f>
        <v xml:space="preserve"> - </v>
      </c>
      <c r="BP16" s="290" t="str">
        <f>IF(ISNUMBER(Datos!CW16),Datos!CW16," - ")</f>
        <v xml:space="preserve"> - </v>
      </c>
      <c r="BQ16" s="746"/>
      <c r="BR16" s="290">
        <f>Datos!CX16</f>
        <v>0</v>
      </c>
      <c r="BS16" s="550">
        <f>Datos!DU16</f>
        <v>0</v>
      </c>
      <c r="BT16" s="1476">
        <f>Datos!ER16/factor_trimestre</f>
        <v>3300</v>
      </c>
    </row>
    <row r="17" spans="1:72" s="748" customFormat="1" ht="14.25">
      <c r="A17" s="740">
        <f>Datos!AO17</f>
        <v>0</v>
      </c>
      <c r="B17" s="741" t="s">
        <v>515</v>
      </c>
      <c r="C17" s="754" t="str">
        <f>Datos!A17</f>
        <v xml:space="preserve">Jdos. 1ª Instª. e Instr.                        </v>
      </c>
      <c r="D17" s="755"/>
      <c r="E17" s="746">
        <f>IF(ISNUMBER(Datos!AQ17),Datos!AQ17," - ")</f>
        <v>0</v>
      </c>
      <c r="F17" s="744" t="str">
        <f>IF(ISNUMBER(AF17+AB17-Datos!J17-L17),AF17+AB17-Datos!J17-L17," - ")</f>
        <v xml:space="preserve"> - </v>
      </c>
      <c r="G17" s="747" t="str">
        <f>IF(ISNUMBER(IF(D_I="SI",Datos!I17,Datos!I17+Datos!AC17)),IF(D_I="SI",Datos!I17,Datos!I17+Datos!AC17)," - ")</f>
        <v xml:space="preserve"> - </v>
      </c>
      <c r="H17" s="756"/>
      <c r="I17" s="744" t="str">
        <f>IF(ISNUMBER(Datos!DC17),Datos!DC17," - ")</f>
        <v xml:space="preserve"> - </v>
      </c>
      <c r="J17" s="240" t="str">
        <f>IF(ISNUMBER(Datos!DC17),Datos!DC17," - ")</f>
        <v xml:space="preserve"> - </v>
      </c>
      <c r="K17" s="774"/>
      <c r="L17" s="756">
        <f>IF(ISNUMBER(Datos!DF17),Datos!DF17,0)</f>
        <v>0</v>
      </c>
      <c r="M17" s="240">
        <f>IF(ISNUMBER(Datos!DM17),Datos!DM17,0)</f>
        <v>0</v>
      </c>
      <c r="N17" s="553"/>
      <c r="O17" s="774"/>
      <c r="P17" s="774"/>
      <c r="Q17" s="240">
        <f>IF(ISNUMBER(Datos!P17),Datos!P17,0)</f>
        <v>0</v>
      </c>
      <c r="R17" s="240" t="str">
        <f>IF(ISNUMBER(Datos!DE17),Datos!DE17," - ")</f>
        <v xml:space="preserve"> - </v>
      </c>
      <c r="S17" s="814"/>
      <c r="T17" s="814"/>
      <c r="U17" s="240" t="str">
        <f>IF(ISNUMBER(Datos!AS17/1),Datos!AS17/1," - ")</f>
        <v xml:space="preserve"> - </v>
      </c>
      <c r="V17" s="379" t="str">
        <f>IF(ISNUMBER(U17/(Datos!BM17/factor_trimestre)),U17/(Datos!BM17/factor_trimestre)," - ")</f>
        <v xml:space="preserve"> - </v>
      </c>
      <c r="W17" s="551" t="str">
        <f>IF(ISNUMBER(Datos!EO17),Datos!EO17," - ")</f>
        <v xml:space="preserve"> - </v>
      </c>
      <c r="X17" s="1327" t="e">
        <f>(W17/Datos!ER17)*factor_trimestre</f>
        <v>#VALUE!</v>
      </c>
      <c r="Y17" s="812"/>
      <c r="Z17" s="239" t="str">
        <f>IF(ISNUMBER(Datos!BY17),Datos!BY17," - ")</f>
        <v xml:space="preserve"> - </v>
      </c>
      <c r="AA17" s="379" t="str">
        <f>IF(ISNUMBER((Z17*factor_trimestre)/DatosB!CN17),(Z17*factor_trimestre)/DatosB!CN17,"-")</f>
        <v>-</v>
      </c>
      <c r="AB17" s="239" t="str">
        <f>IF(ISNUMBER(IF(D_I="SI",Datos!K17,Datos!K17+Datos!AE17)),IF(D_I="SI",Datos!K17,Datos!K17+Datos!AE17)," - ")</f>
        <v xml:space="preserve"> - </v>
      </c>
      <c r="AC17" s="240" t="str">
        <f>IF(ISNUMBER(Datos!Q17),Datos!Q17," - ")</f>
        <v xml:space="preserve"> - </v>
      </c>
      <c r="AD17" s="374"/>
      <c r="AE17" s="566"/>
      <c r="AF17" s="745" t="str">
        <f>IF(ISNUMBER(IF(D_I="SI",Datos!L17,Datos!L17+Datos!AF17)),IF(D_I="SI",Datos!L17,Datos!L17+Datos!AF17)," - ")</f>
        <v xml:space="preserve"> - </v>
      </c>
      <c r="AG17" s="374"/>
      <c r="AH17" s="374"/>
      <c r="AI17" s="374"/>
      <c r="AJ17" s="553"/>
      <c r="AK17" s="374"/>
      <c r="AL17" s="549"/>
      <c r="AM17" s="375" t="str">
        <f>IF(ISNUMBER(Datos!R17),Datos!R17," - ")</f>
        <v xml:space="preserve"> - </v>
      </c>
      <c r="AN17" s="374"/>
      <c r="AO17" s="374"/>
      <c r="AP17" s="374"/>
      <c r="AQ17" s="374"/>
      <c r="AR17" s="553"/>
      <c r="AS17" s="374" t="str">
        <f>IF(ISNUMBER(Datos!BV17),Datos!BV17," - ")</f>
        <v xml:space="preserve"> - </v>
      </c>
      <c r="AT17" s="239" t="str">
        <f>IF(ISNUMBER(Datos!CK17),Datos!CK17," - ")</f>
        <v xml:space="preserve"> - </v>
      </c>
      <c r="AU17" s="324" t="str">
        <f>IF(ISNUMBER(Datos!CL17),Datos!CL17," - ")</f>
        <v xml:space="preserve"> - </v>
      </c>
      <c r="AV17" s="241" t="str">
        <f>IF(ISNUMBER(Datos!CM17),Datos!CM17," - ")</f>
        <v xml:space="preserve"> - </v>
      </c>
      <c r="AW17" s="324" t="str">
        <f>IF(ISNUMBER(Datos!DV17),Datos!DV17," - ")</f>
        <v xml:space="preserve"> - </v>
      </c>
      <c r="AX17" s="241"/>
      <c r="AY17" s="324"/>
      <c r="AZ17" s="241"/>
      <c r="BA17" s="324"/>
      <c r="BB17" s="241"/>
      <c r="BC17" s="239" t="str">
        <f>IF(ISNUMBER(Datos!M17),Datos!M17," - ")</f>
        <v xml:space="preserve"> - </v>
      </c>
      <c r="BD17" s="243" t="str">
        <f>IF(ISNUMBER(Datos!N17),Datos!N17," - ")</f>
        <v xml:space="preserve"> - </v>
      </c>
      <c r="BE17" s="243" t="str">
        <f>IF(ISNUMBER(Datos!BW17),Datos!BW17," - ")</f>
        <v xml:space="preserve"> - </v>
      </c>
      <c r="BF17" s="242" t="str">
        <f>IF(ISNUMBER(Datos!BX17),Datos!BX17," - ")</f>
        <v xml:space="preserve"> - </v>
      </c>
      <c r="BG17" s="768" t="str">
        <f>IF(ISNUMBER(IF(D_I="SI",Datos!K17/Datos!J17,(Datos!K17+Datos!AE17)/(Datos!J17+Datos!AD17))),IF(D_I="SI",Datos!K17/Datos!J17,(Datos!K17+Datos!AE17)/(Datos!J17+Datos!AD17))," - ")</f>
        <v xml:space="preserve"> - </v>
      </c>
      <c r="BH17" s="769" t="str">
        <f>IF(ISNUMBER(((IF(D_I="SI",Datos!L17/Datos!K17,(Datos!L17+Datos!AF17)/(Datos!K17+Datos!AE17)))*11)/factor_trimestre),((IF(D_I="SI",Datos!L17/Datos!K17,(Datos!L17+Datos!AF17)/(Datos!K17+Datos!AE17)))*11)/factor_trimestre," - ")</f>
        <v xml:space="preserve"> - </v>
      </c>
      <c r="BI17" s="266" t="str">
        <f>IF(ISNUMBER('Resol  Asuntos'!D17/NºAsuntos!G17),'Resol  Asuntos'!D17/NºAsuntos!G17," - ")</f>
        <v xml:space="preserve"> - </v>
      </c>
      <c r="BJ17" s="244" t="str">
        <f>IF(ISNUMBER(Datos!CI17/Datos!CJ17),Datos!CI17/Datos!CJ17," - ")</f>
        <v xml:space="preserve"> - </v>
      </c>
      <c r="BK17" s="407"/>
      <c r="BL17" s="559" t="str">
        <f>IF(ISNUMBER((J17-AB17+L17)/(F17)),(J17-AB17+L17)/(F17)," - ")</f>
        <v xml:space="preserve"> - </v>
      </c>
      <c r="BM17" s="332" t="str">
        <f>IF(ISNUMBER((Datos!P17-Datos!Q17+R17)/(Datos!R17-Datos!P17+Datos!Q17-R17)),(Datos!P17-Datos!Q17+R17)/(Datos!R17-Datos!P17+Datos!Q17-R17)," - ")</f>
        <v xml:space="preserve"> - </v>
      </c>
      <c r="BN17" s="845" t="str">
        <f>IF(ISNUMBER(Datos!CS17),Datos!CS17," - ")</f>
        <v xml:space="preserve"> - </v>
      </c>
      <c r="BO17" s="845" t="str">
        <f>IF(ISNUMBER(Datos!EI17),Datos!EI17," - ")</f>
        <v xml:space="preserve"> - </v>
      </c>
      <c r="BP17" s="290" t="str">
        <f>IF(ISNUMBER(Datos!CW17),Datos!CW17," - ")</f>
        <v xml:space="preserve"> - </v>
      </c>
      <c r="BQ17" s="746"/>
      <c r="BR17" s="290">
        <f>Datos!CX17</f>
        <v>0</v>
      </c>
      <c r="BS17" s="550">
        <f>Datos!DU17</f>
        <v>0</v>
      </c>
      <c r="BT17" s="1476">
        <f>Datos!ER17/factor_trimestre</f>
        <v>1000</v>
      </c>
    </row>
    <row r="18" spans="1:72" s="582" customFormat="1" ht="14.25">
      <c r="A18" s="749">
        <f>Datos!AO18</f>
        <v>3</v>
      </c>
      <c r="B18" s="750" t="s">
        <v>515</v>
      </c>
      <c r="C18" s="751" t="str">
        <f>Datos!A18</f>
        <v>Jdos. Violencia contra la mujer</v>
      </c>
      <c r="D18" s="605"/>
      <c r="E18" s="721">
        <f>IF(ISNUMBER(Datos!AQ18),Datos!AQ18," - ")</f>
        <v>3</v>
      </c>
      <c r="F18" s="556" t="str">
        <f>IF(ISNUMBER(AF18+AB18-I18-L18),AF18+AB18-I18-L18," - ")</f>
        <v xml:space="preserve"> - </v>
      </c>
      <c r="G18" s="547">
        <f>IF(ISNUMBER(IF(D_I="SI",Datos!I18,Datos!I18+Datos!AC18)),IF(D_I="SI",Datos!I18,Datos!I18+Datos!AC18)," - ")</f>
        <v>726</v>
      </c>
      <c r="H18" s="551"/>
      <c r="I18" s="556" t="str">
        <f>IF(ISNUMBER(Datos!DB18),Datos!DB18," - ")</f>
        <v xml:space="preserve"> - </v>
      </c>
      <c r="J18" s="551" t="str">
        <f>IF(ISNUMBER(Datos!DC18),Datos!DC18," - ")</f>
        <v xml:space="preserve"> - </v>
      </c>
      <c r="K18" s="553"/>
      <c r="L18" s="551">
        <f>IF(ISNUMBER(Datos!DF18),Datos!DF18,0)</f>
        <v>0</v>
      </c>
      <c r="M18" s="551">
        <f>IF(ISNUMBER(Datos!DM18),Datos!DM18,0)</f>
        <v>0</v>
      </c>
      <c r="N18" s="553"/>
      <c r="O18" s="553" t="str">
        <f>IF(ISNUMBER(Datos!EB18),Datos!EB18," - ")</f>
        <v xml:space="preserve"> - </v>
      </c>
      <c r="P18" s="553" t="str">
        <f>IF(ISNUMBER(Datos!EC18),Datos!EC18," - ")</f>
        <v xml:space="preserve"> - </v>
      </c>
      <c r="Q18" s="551">
        <f>IF(ISNUMBER(Datos!P18),Datos!P18,0)</f>
        <v>35</v>
      </c>
      <c r="R18" s="551" t="str">
        <f>IF(ISNUMBER(Datos!DE18),Datos!DE18," - ")</f>
        <v xml:space="preserve"> - </v>
      </c>
      <c r="S18" s="815" t="str">
        <f>IF(ISNUMBER(Datos!EB18*factor_trimestre/Datos!EE18),Datos!EB18*factor_trimestre/Datos!EE18," - ")</f>
        <v xml:space="preserve"> - </v>
      </c>
      <c r="T18" s="815" t="str">
        <f>IF(ISNUMBER(Datos!EC18*factor_trimestre/Datos!EF18),Datos!EC18*factor_trimestre/Datos!EF18," - ")</f>
        <v xml:space="preserve"> - </v>
      </c>
      <c r="U18" s="551" t="str">
        <f>IF(ISNUMBER((Datos!AS18+Datos!AT18)),(Datos!AS18+Datos!AT18)," - ")</f>
        <v xml:space="preserve"> - </v>
      </c>
      <c r="V18" s="552" t="str">
        <f>IF(ISNUMBER(U18/(Datos!BM18/factor_trimestre)),U18/(Datos!BM18/factor_trimestre)," - ")</f>
        <v xml:space="preserve"> - </v>
      </c>
      <c r="W18" s="551" t="str">
        <f>IF(ISNUMBER(Datos!EO18),Datos!EO18," - ")</f>
        <v xml:space="preserve"> - </v>
      </c>
      <c r="X18" s="1327" t="e">
        <f>(W18/Datos!ER18)*factor_trimestre</f>
        <v>#VALUE!</v>
      </c>
      <c r="Y18" s="813"/>
      <c r="Z18" s="556" t="str">
        <f>IF(ISNUMBER(Datos!BY18+Datos!BZ18),Datos!BY18+Datos!BZ18," - ")</f>
        <v xml:space="preserve"> - </v>
      </c>
      <c r="AA18" s="552" t="str">
        <f>IF(ISNUMBER((Z18*factor_trimestre)/DatosB!CN18),(Z18*factor_trimestre)/DatosB!CN18,"-")</f>
        <v>-</v>
      </c>
      <c r="AB18" s="556">
        <f>IF(ISNUMBER(IF(D_I="SI",Datos!K18,Datos!K18+Datos!AE18)),IF(D_I="SI",Datos!K18,Datos!K18+Datos!AE18)," - ")</f>
        <v>5190</v>
      </c>
      <c r="AC18" s="551">
        <f>IF(ISNUMBER(Datos!Q18),Datos!Q18," - ")</f>
        <v>27</v>
      </c>
      <c r="AD18" s="553"/>
      <c r="AE18" s="566"/>
      <c r="AF18" s="555">
        <f>IF(ISNUMBER(Datos!L18),Datos!L18,"-")</f>
        <v>632</v>
      </c>
      <c r="AG18" s="553"/>
      <c r="AH18" s="553"/>
      <c r="AI18" s="553"/>
      <c r="AJ18" s="553"/>
      <c r="AK18" s="553"/>
      <c r="AL18" s="554"/>
      <c r="AM18" s="771">
        <f>IF(ISNUMBER(Datos!R18),Datos!R18," - ")</f>
        <v>29</v>
      </c>
      <c r="AN18" s="553"/>
      <c r="AO18" s="553"/>
      <c r="AP18" s="553"/>
      <c r="AQ18" s="553"/>
      <c r="AR18" s="553"/>
      <c r="AS18" s="553" t="str">
        <f>IF(ISNUMBER(Datos!BV18),Datos!BV18," - ")</f>
        <v xml:space="preserve"> - </v>
      </c>
      <c r="AT18" s="556" t="str">
        <f>IF(ISNUMBER(Datos!CK18),Datos!CK18," - ")</f>
        <v xml:space="preserve"> - </v>
      </c>
      <c r="AU18" s="557" t="str">
        <f>IF(ISNUMBER(Datos!CL18),Datos!CL18," - ")</f>
        <v xml:space="preserve"> - </v>
      </c>
      <c r="AV18" s="558" t="str">
        <f>IF(ISNUMBER(Datos!CM18),Datos!CM18," - ")</f>
        <v xml:space="preserve"> - </v>
      </c>
      <c r="AW18" s="557" t="str">
        <f>IF(ISNUMBER(Datos!DV18),Datos!DV18," - ")</f>
        <v xml:space="preserve"> - </v>
      </c>
      <c r="AX18" s="558"/>
      <c r="AY18" s="557"/>
      <c r="AZ18" s="558"/>
      <c r="BA18" s="557"/>
      <c r="BB18" s="558"/>
      <c r="BC18" s="556">
        <f>IF(ISNUMBER(Datos!M18),Datos!M18," - ")</f>
        <v>251</v>
      </c>
      <c r="BD18" s="697">
        <f>IF(ISNUMBER(Datos!N18),Datos!N18," - ")</f>
        <v>2856</v>
      </c>
      <c r="BE18" s="697" t="str">
        <f>IF(ISNUMBER(Datos!BW18),Datos!BW18," - ")</f>
        <v xml:space="preserve"> - </v>
      </c>
      <c r="BF18" s="767" t="str">
        <f>IF(ISNUMBER(Datos!BX18),Datos!BX18," - ")</f>
        <v xml:space="preserve"> - </v>
      </c>
      <c r="BG18" s="768">
        <f>IF(ISNUMBER(IF(D_I="SI",Datos!K18/Datos!J18,(Datos!K18+Datos!AE18)/(Datos!J18+Datos!AD18))),IF(D_I="SI",Datos!K18/Datos!J18,(Datos!K18+Datos!AE18)/(Datos!J18+Datos!AD18))," - ")</f>
        <v>1.0303752233472305</v>
      </c>
      <c r="BH18" s="769">
        <f>IF(ISNUMBER(((IF(D_I="SI",Datos!L18/Datos!K18,(Datos!L18+Datos!AF18)/(Datos!K18+Datos!AE18)))*11)/factor_trimestre),((IF(D_I="SI",Datos!L18/Datos!K18,(Datos!L18+Datos!AF18)/(Datos!K18+Datos!AE18)))*11)/factor_trimestre," - ")</f>
        <v>1.3394990366088633</v>
      </c>
      <c r="BI18" s="768">
        <f>IF(ISNUMBER('Resol  Asuntos'!D18/NºAsuntos!G18),'Resol  Asuntos'!D18/NºAsuntos!G18," - ")</f>
        <v>4.8362235067437379E-2</v>
      </c>
      <c r="BJ18" s="559" t="str">
        <f>IF(ISNUMBER(Datos!CI18/Datos!CJ18),Datos!CI18/Datos!CJ18," - ")</f>
        <v xml:space="preserve"> - </v>
      </c>
      <c r="BK18" s="753"/>
      <c r="BL18" s="559" t="str">
        <f>IF(ISNUMBER((I18-AB18+L18)/(F18)),(I18-AB18+L18)/(F18)," - ")</f>
        <v xml:space="preserve"> - </v>
      </c>
      <c r="BM18" s="772" t="str">
        <f>IF(ISNUMBER((Datos!P18-Datos!Q18+R18)/(Datos!R18-Datos!P18+Datos!Q18-R18)),(Datos!P18-Datos!Q18+R18)/(Datos!R18-Datos!P18+Datos!Q18-R18)," - ")</f>
        <v xml:space="preserve"> - </v>
      </c>
      <c r="BN18" s="846" t="str">
        <f>IF(ISNUMBER(Datos!CS18),Datos!CS18," - ")</f>
        <v xml:space="preserve"> - </v>
      </c>
      <c r="BO18" s="846" t="str">
        <f>IF(ISNUMBER(Datos!EI18),Datos!EI18," - ")</f>
        <v xml:space="preserve"> - </v>
      </c>
      <c r="BP18" s="721" t="str">
        <f>IF(ISNUMBER(Datos!CW18),Datos!CW18," - ")</f>
        <v xml:space="preserve"> - </v>
      </c>
      <c r="BQ18" s="721"/>
      <c r="BR18" s="721">
        <f>Datos!CX18</f>
        <v>0</v>
      </c>
      <c r="BS18" s="561">
        <f>Datos!DU18</f>
        <v>0</v>
      </c>
      <c r="BT18" s="1476">
        <f>Datos!ER18/factor_trimestre</f>
        <v>1600</v>
      </c>
    </row>
    <row r="19" spans="1:72" s="582" customFormat="1" ht="14.25">
      <c r="A19" s="749">
        <f>Datos!AO19</f>
        <v>0</v>
      </c>
      <c r="B19" s="750" t="s">
        <v>515</v>
      </c>
      <c r="C19" s="751" t="str">
        <f>Datos!A19</f>
        <v xml:space="preserve">Jdos. de Menores                                </v>
      </c>
      <c r="D19" s="605"/>
      <c r="E19" s="721">
        <f>IF(ISNUMBER(Datos!AQ19),Datos!AQ19," - ")</f>
        <v>0</v>
      </c>
      <c r="F19" s="556" t="str">
        <f>IF(ISNUMBER(Datos!L19+Datos!K19-Datos!J19),Datos!L19+Datos!K19-Datos!J19," - ")</f>
        <v xml:space="preserve"> - </v>
      </c>
      <c r="G19" s="547" t="str">
        <f>IF(ISNUMBER(Datos!I19),Datos!I19," - ")</f>
        <v xml:space="preserve"> - </v>
      </c>
      <c r="H19" s="551"/>
      <c r="I19" s="556" t="str">
        <f>IF(ISNUMBER(Datos!DB19),Datos!DB19," - ")</f>
        <v xml:space="preserve"> - </v>
      </c>
      <c r="J19" s="551" t="str">
        <f>IF(ISNUMBER(Datos!DC19),Datos!DC19," - ")</f>
        <v xml:space="preserve"> - </v>
      </c>
      <c r="K19" s="553"/>
      <c r="L19" s="551">
        <f>IF(ISNUMBER(Datos!DF19),Datos!DF19,0)</f>
        <v>0</v>
      </c>
      <c r="M19" s="551">
        <f>IF(ISNUMBER(Datos!DM19),Datos!DM19,0)</f>
        <v>0</v>
      </c>
      <c r="N19" s="553"/>
      <c r="O19" s="553"/>
      <c r="P19" s="553"/>
      <c r="Q19" s="551">
        <f>IF(ISNUMBER(Datos!P19),Datos!P19,0)</f>
        <v>0</v>
      </c>
      <c r="R19" s="551" t="str">
        <f>IF(ISNUMBER(Datos!DE19),Datos!DE19," - ")</f>
        <v xml:space="preserve"> - </v>
      </c>
      <c r="S19" s="815"/>
      <c r="T19" s="815"/>
      <c r="U19" s="551" t="str">
        <f>IF(ISNUMBER(Datos!AS19/1),Datos!AS19/1," - ")</f>
        <v xml:space="preserve"> - </v>
      </c>
      <c r="V19" s="552" t="str">
        <f>IF(ISNUMBER(U19/(Datos!BM19/factor_trimestre)),U19/(Datos!BM19/factor_trimestre)," - ")</f>
        <v xml:space="preserve"> - </v>
      </c>
      <c r="W19" s="551" t="str">
        <f>IF(ISNUMBER(Datos!EO19),Datos!EO19," - ")</f>
        <v xml:space="preserve"> - </v>
      </c>
      <c r="X19" s="1327" t="e">
        <f>(W19/Datos!ER19)*factor_trimestre</f>
        <v>#VALUE!</v>
      </c>
      <c r="Y19" s="813"/>
      <c r="Z19" s="556" t="str">
        <f>IF(ISNUMBER(Datos!BY19),Datos!BY19," - ")</f>
        <v xml:space="preserve"> - </v>
      </c>
      <c r="AA19" s="552" t="str">
        <f>IF(ISNUMBER((Z19*factor_trimestre)/DatosB!CN19),(Z19*factor_trimestre)/DatosB!CN19,"-")</f>
        <v>-</v>
      </c>
      <c r="AB19" s="556" t="str">
        <f>IF(ISNUMBER(Datos!K19),Datos!K19," - ")</f>
        <v xml:space="preserve"> - </v>
      </c>
      <c r="AC19" s="551" t="str">
        <f>IF(ISNUMBER(Datos!Q19),Datos!Q19," - ")</f>
        <v xml:space="preserve"> - </v>
      </c>
      <c r="AD19" s="553"/>
      <c r="AE19" s="567"/>
      <c r="AF19" s="555" t="str">
        <f>IF(ISNUMBER(Datos!L19),Datos!L19,"-")</f>
        <v>-</v>
      </c>
      <c r="AG19" s="553"/>
      <c r="AH19" s="553"/>
      <c r="AI19" s="553"/>
      <c r="AJ19" s="553"/>
      <c r="AK19" s="553"/>
      <c r="AL19" s="554"/>
      <c r="AM19" s="771" t="str">
        <f>IF(ISNUMBER(Datos!R19),Datos!R19," - ")</f>
        <v xml:space="preserve"> - </v>
      </c>
      <c r="AN19" s="553"/>
      <c r="AO19" s="553"/>
      <c r="AP19" s="553"/>
      <c r="AQ19" s="553"/>
      <c r="AR19" s="553"/>
      <c r="AS19" s="553" t="str">
        <f>IF(ISNUMBER(Datos!BV19),Datos!BV19," - ")</f>
        <v xml:space="preserve"> - </v>
      </c>
      <c r="AT19" s="556" t="str">
        <f>IF(ISNUMBER(Datos!CK19),Datos!CK19," - ")</f>
        <v xml:space="preserve"> - </v>
      </c>
      <c r="AU19" s="557" t="str">
        <f>IF(ISNUMBER(Datos!CL19),Datos!CL19," - ")</f>
        <v xml:space="preserve"> - </v>
      </c>
      <c r="AV19" s="558" t="str">
        <f>IF(ISNUMBER(Datos!CM19),Datos!CM19," - ")</f>
        <v xml:space="preserve"> - </v>
      </c>
      <c r="AW19" s="557"/>
      <c r="AX19" s="558"/>
      <c r="AY19" s="557"/>
      <c r="AZ19" s="558"/>
      <c r="BA19" s="557"/>
      <c r="BB19" s="558"/>
      <c r="BC19" s="556" t="str">
        <f>IF(ISNUMBER(Datos!M19),Datos!M19," - ")</f>
        <v xml:space="preserve"> - </v>
      </c>
      <c r="BD19" s="697"/>
      <c r="BE19" s="697"/>
      <c r="BF19" s="767"/>
      <c r="BG19" s="768" t="str">
        <f>IF(ISNUMBER(Datos!K19/Datos!J19),Datos!K19/Datos!J19," - ")</f>
        <v xml:space="preserve"> - </v>
      </c>
      <c r="BH19" s="769" t="str">
        <f>IF(ISNUMBER(((Datos!L19/Datos!K19)*11)/factor_trimestre),((Datos!L19/Datos!K19)*11)/factor_trimestre," - ")</f>
        <v xml:space="preserve"> - </v>
      </c>
      <c r="BI19" s="768"/>
      <c r="BJ19" s="559" t="str">
        <f>IF(ISNUMBER(Datos!CI19/Datos!CJ19),Datos!CI19/Datos!CJ19," - ")</f>
        <v xml:space="preserve"> - </v>
      </c>
      <c r="BK19" s="753"/>
      <c r="BL19" s="559" t="str">
        <f>IF(ISNUMBER((I19-AB19+L19)/(F19)),(I19-AB19+L19)/(F19)," - ")</f>
        <v xml:space="preserve"> - </v>
      </c>
      <c r="BM19" s="772" t="str">
        <f>IF(ISNUMBER((Datos!P19-Datos!Q19+R19)/(Datos!R19-Datos!P19+Datos!Q19-R19)),(Datos!P19-Datos!Q19+R19)/(Datos!R19-Datos!P19+Datos!Q19-R19)," - ")</f>
        <v xml:space="preserve"> - </v>
      </c>
      <c r="BN19" s="758"/>
      <c r="BO19" s="846" t="str">
        <f>IF(ISNUMBER(Datos!EI19),Datos!EI19," - ")</f>
        <v xml:space="preserve"> - </v>
      </c>
      <c r="BP19" s="721" t="str">
        <f>IF(ISNUMBER(Datos!CW19),Datos!CW19," - ")</f>
        <v xml:space="preserve"> - </v>
      </c>
      <c r="BQ19" s="721"/>
      <c r="BR19" s="721">
        <f>Datos!CX19</f>
        <v>0</v>
      </c>
      <c r="BS19" s="561">
        <f>Datos!DU19</f>
        <v>0</v>
      </c>
      <c r="BT19" s="1476">
        <f>Datos!ER19/factor_trimestre</f>
        <v>875</v>
      </c>
    </row>
    <row r="20" spans="1:72" s="748" customFormat="1" ht="14.25">
      <c r="A20" s="740">
        <f>Datos!AO20</f>
        <v>0</v>
      </c>
      <c r="B20" s="741" t="s">
        <v>515</v>
      </c>
      <c r="C20" s="742" t="str">
        <f>Datos!A20</f>
        <v xml:space="preserve">Jdos. Vigilancia Penitenciaria                  </v>
      </c>
      <c r="D20" s="743"/>
      <c r="E20" s="746">
        <f>IF(ISNUMBER(Datos!AQ20),Datos!AQ20," - ")</f>
        <v>0</v>
      </c>
      <c r="F20" s="556" t="str">
        <f>IF(ISNUMBER(Datos!L20+Datos!K20-Datos!J20-L20),Datos!L20+Datos!K20-Datos!J20-L20," - ")</f>
        <v xml:space="preserve"> - </v>
      </c>
      <c r="G20" s="747" t="str">
        <f>IF(ISNUMBER(Datos!I20),Datos!I20," - ")</f>
        <v xml:space="preserve"> - </v>
      </c>
      <c r="H20" s="756"/>
      <c r="I20" s="744" t="str">
        <f>IF(ISNUMBER(Datos!DB20),Datos!DB20," - ")</f>
        <v xml:space="preserve"> - </v>
      </c>
      <c r="J20" s="551" t="str">
        <f>IF(ISNUMBER(Datos!DC20),Datos!DC20," - ")</f>
        <v xml:space="preserve"> - </v>
      </c>
      <c r="K20" s="774"/>
      <c r="L20" s="756">
        <f>IF(ISNUMBER(Datos!DF20),Datos!DF20,0)</f>
        <v>0</v>
      </c>
      <c r="M20" s="240">
        <f>IF(ISNUMBER(Datos!DM20),Datos!DM20,0)</f>
        <v>0</v>
      </c>
      <c r="N20" s="553"/>
      <c r="O20" s="774"/>
      <c r="Q20" s="240">
        <f>IF(ISNUMBER(Datos!P20),Datos!P20,0)</f>
        <v>0</v>
      </c>
      <c r="R20" s="240" t="str">
        <f>IF(ISNUMBER(Datos!DE20),Datos!DE20," - ")</f>
        <v xml:space="preserve"> - </v>
      </c>
      <c r="S20" s="814"/>
      <c r="T20" s="814"/>
      <c r="U20" s="240" t="str">
        <f>IF(ISNUMBER(Datos!AS20/((TrimFin-TrimIni+1))),(Datos!AS20/((TrimFin-TrimIni+1)))," - ")</f>
        <v xml:space="preserve"> - </v>
      </c>
      <c r="V20" s="379" t="str">
        <f>IF(ISNUMBER(U20/Datos!BM20),U20/Datos!BM20," - ")</f>
        <v xml:space="preserve"> - </v>
      </c>
      <c r="W20" s="551" t="str">
        <f>IF(ISNUMBER(Datos!EO20),Datos!EO20," - ")</f>
        <v xml:space="preserve"> - </v>
      </c>
      <c r="X20" s="1327" t="e">
        <f>(W20/Datos!ER20)*factor_trimestre</f>
        <v>#VALUE!</v>
      </c>
      <c r="Y20" s="812"/>
      <c r="Z20" s="239">
        <f>IF(ISNUMBER(Datos!BY20+Datos!BZ20),Datos!BY20+Datos!BZ20," - ")</f>
        <v>0</v>
      </c>
      <c r="AA20" s="379">
        <f>IF(ISNUMBER((Z20*factor_trimestre)/DatosB!CN20),(Z20*factor_trimestre)/DatosB!CN20,"-")</f>
        <v>0</v>
      </c>
      <c r="AB20" s="239" t="str">
        <f>IF(ISNUMBER(Datos!K20),Datos!K20," - ")</f>
        <v xml:space="preserve"> - </v>
      </c>
      <c r="AC20" s="551" t="str">
        <f>IF(ISNUMBER(Datos!Q20),Datos!Q20," - ")</f>
        <v xml:space="preserve"> - </v>
      </c>
      <c r="AD20" s="374"/>
      <c r="AE20" s="566"/>
      <c r="AF20" s="745" t="str">
        <f>IF(ISNUMBER(Datos!L20),Datos!L20,"-")</f>
        <v>-</v>
      </c>
      <c r="AG20" s="374"/>
      <c r="AH20" s="374"/>
      <c r="AI20" s="374"/>
      <c r="AJ20" s="553"/>
      <c r="AK20" s="374"/>
      <c r="AL20" s="549"/>
      <c r="AM20" s="771" t="str">
        <f>IF(ISNUMBER(Datos!R20),Datos!R20," - ")</f>
        <v xml:space="preserve"> - </v>
      </c>
      <c r="AN20" s="374"/>
      <c r="AO20" s="374"/>
      <c r="AP20" s="374"/>
      <c r="AQ20" s="374"/>
      <c r="AR20" s="553"/>
      <c r="AS20" s="374"/>
      <c r="AT20" s="239"/>
      <c r="AU20" s="324"/>
      <c r="AV20" s="241"/>
      <c r="AW20" s="324"/>
      <c r="AX20" s="241"/>
      <c r="AY20" s="324"/>
      <c r="AZ20" s="241"/>
      <c r="BA20" s="324"/>
      <c r="BB20" s="241"/>
      <c r="BC20" s="239"/>
      <c r="BD20" s="243" t="str">
        <f>IF(ISNUMBER(Datos!N20),Datos!N20," - ")</f>
        <v xml:space="preserve"> - </v>
      </c>
      <c r="BE20" s="243"/>
      <c r="BF20" s="242" t="str">
        <f>IF(ISNUMBER(Datos!BX20),Datos!BX20," - ")</f>
        <v xml:space="preserve"> - </v>
      </c>
      <c r="BG20" s="768" t="str">
        <f>IF(ISNUMBER(Datos!K20/Datos!J20),Datos!K20/Datos!J20," - ")</f>
        <v xml:space="preserve"> - </v>
      </c>
      <c r="BH20" s="769" t="str">
        <f>IF(ISNUMBER(((Datos!L20/Datos!K20)*11)/factor_trimestre),((Datos!L20/Datos!K20)*11)/factor_trimestre," - ")</f>
        <v xml:space="preserve"> - </v>
      </c>
      <c r="BI20" s="266" t="str">
        <f>IF(ISNUMBER('Resol  Asuntos'!D20/NºAsuntos!G20),'Resol  Asuntos'!D20/NºAsuntos!G20," - ")</f>
        <v xml:space="preserve"> - </v>
      </c>
      <c r="BJ20" s="244"/>
      <c r="BK20" s="407"/>
      <c r="BL20" s="559" t="str">
        <f>IF(ISNUMBER((I20-AB20+L20)/(F20)),(I20-AB20+L20)/(F20)," - ")</f>
        <v xml:space="preserve"> - </v>
      </c>
      <c r="BM20" s="332" t="str">
        <f>IF(ISNUMBER((Datos!P20-Datos!Q20+R20)/(Datos!R20-Datos!P20+Datos!Q20-R20)),(Datos!P20-Datos!Q20+R20)/(Datos!R20-Datos!P20+Datos!Q20-R20)," - ")</f>
        <v xml:space="preserve"> - </v>
      </c>
      <c r="BN20" s="757"/>
      <c r="BO20" s="845" t="str">
        <f>IF(ISNUMBER(Datos!EI20),Datos!EI20," - ")</f>
        <v xml:space="preserve"> - </v>
      </c>
      <c r="BP20" s="290" t="str">
        <f>IF(ISNUMBER(Datos!CW20),Datos!CW20," - ")</f>
        <v xml:space="preserve"> - </v>
      </c>
      <c r="BQ20" s="746"/>
      <c r="BR20" s="290"/>
      <c r="BS20" s="550"/>
      <c r="BT20" s="1476">
        <f>Datos!ER20/factor_trimestre</f>
        <v>5240</v>
      </c>
    </row>
    <row r="21" spans="1:72" s="582" customFormat="1" ht="14.25">
      <c r="A21" s="749">
        <f>Datos!AO21</f>
        <v>0</v>
      </c>
      <c r="B21" s="750" t="s">
        <v>515</v>
      </c>
      <c r="C21" s="751" t="str">
        <f>Datos!A21</f>
        <v xml:space="preserve">Jdos. de lo Penal                               </v>
      </c>
      <c r="D21" s="605"/>
      <c r="E21" s="721">
        <f>IF(ISNUMBER(Datos!AQ21),Datos!AQ21," - ")</f>
        <v>0</v>
      </c>
      <c r="F21" s="556" t="str">
        <f>IF(ISNUMBER(Datos!L21+Datos!K21-Datos!J21),Datos!L21+Datos!K21-Datos!J21," - ")</f>
        <v xml:space="preserve"> - </v>
      </c>
      <c r="G21" s="547" t="str">
        <f>IF(ISNUMBER(Datos!I21),Datos!I21," - ")</f>
        <v xml:space="preserve"> - </v>
      </c>
      <c r="H21" s="551" t="str">
        <f>IF(ISNUMBER(Datos!ED21),Datos!ED21," - ")</f>
        <v xml:space="preserve"> - </v>
      </c>
      <c r="I21" s="556" t="str">
        <f>IF(ISNUMBER(Datos!DB21),Datos!DB21," - ")</f>
        <v xml:space="preserve"> - </v>
      </c>
      <c r="J21" s="551">
        <f>IF(ISNUMBER(Datos!DC21),Datos!DC21,0)</f>
        <v>0</v>
      </c>
      <c r="K21" s="553"/>
      <c r="L21" s="551">
        <f>IF(ISNUMBER(Datos!DF21),Datos!DF21,0)</f>
        <v>0</v>
      </c>
      <c r="M21" s="551">
        <f>IF(ISNUMBER(Datos!DM21),Datos!DM21,0)</f>
        <v>0</v>
      </c>
      <c r="N21" s="553"/>
      <c r="O21" s="553"/>
      <c r="P21" s="553"/>
      <c r="Q21" s="551">
        <f>IF(ISNUMBER(Datos!P21),Datos!P21,0)</f>
        <v>0</v>
      </c>
      <c r="R21" s="551" t="str">
        <f>IF(ISNUMBER(Datos!DE21),Datos!DE21," - ")</f>
        <v xml:space="preserve"> - </v>
      </c>
      <c r="S21" s="815"/>
      <c r="T21" s="815"/>
      <c r="U21" s="551" t="str">
        <f>IF(ISNUMBER(Datos!AS21/1),Datos!AS21/1," - ")</f>
        <v xml:space="preserve"> - </v>
      </c>
      <c r="V21" s="552" t="str">
        <f>IF(ISNUMBER(U21/(Datos!BM21/factor_trimestre)),U21/(Datos!BM21/factor_trimestre)," - ")</f>
        <v xml:space="preserve"> - </v>
      </c>
      <c r="W21" s="551" t="str">
        <f>IF(ISNUMBER(Datos!EO21),Datos!EO21," - ")</f>
        <v xml:space="preserve"> - </v>
      </c>
      <c r="X21" s="1353" t="e">
        <f>(W21/Datos!ER21)*factor_trimestre</f>
        <v>#VALUE!</v>
      </c>
      <c r="Y21" s="813"/>
      <c r="Z21" s="1083" t="str">
        <f>IF(ISNUMBER(Datos!BY21),Datos!BY21," - ")</f>
        <v xml:space="preserve"> - </v>
      </c>
      <c r="AA21" s="552" t="str">
        <f>IF(ISNUMBER((Z21*factor_trimestre)/DatosB!CN21),(Z21*factor_trimestre)/DatosB!CN21,"-")</f>
        <v>-</v>
      </c>
      <c r="AB21" s="556" t="str">
        <f>IF(ISNUMBER(Datos!K21),Datos!K21," - ")</f>
        <v xml:space="preserve"> - </v>
      </c>
      <c r="AC21" s="551" t="str">
        <f>IF(ISNUMBER(Datos!Q21),Datos!Q21," - ")</f>
        <v xml:space="preserve"> - </v>
      </c>
      <c r="AD21" s="553"/>
      <c r="AE21" s="567"/>
      <c r="AF21" s="555" t="str">
        <f>IF(ISNUMBER(Datos!L21),Datos!L21,"-")</f>
        <v>-</v>
      </c>
      <c r="AG21" s="553"/>
      <c r="AH21" s="553"/>
      <c r="AI21" s="553"/>
      <c r="AJ21" s="553"/>
      <c r="AK21" s="553"/>
      <c r="AL21" s="554"/>
      <c r="AM21" s="771" t="str">
        <f>IF(ISNUMBER(Datos!R21),Datos!R21," - ")</f>
        <v xml:space="preserve"> - </v>
      </c>
      <c r="AN21" s="553"/>
      <c r="AO21" s="553"/>
      <c r="AP21" s="553"/>
      <c r="AQ21" s="553"/>
      <c r="AR21" s="553"/>
      <c r="AS21" s="553" t="str">
        <f>IF(ISNUMBER(Datos!BV21),Datos!BV21," - ")</f>
        <v xml:space="preserve"> - </v>
      </c>
      <c r="AT21" s="556" t="str">
        <f>IF(ISNUMBER(Datos!CK21),Datos!CK21," - ")</f>
        <v xml:space="preserve"> - </v>
      </c>
      <c r="AU21" s="557" t="str">
        <f>IF(ISNUMBER(Datos!CL21),Datos!CL21," - ")</f>
        <v xml:space="preserve"> - </v>
      </c>
      <c r="AV21" s="558" t="str">
        <f>IF(ISNUMBER(Datos!CM21),Datos!CM21," - ")</f>
        <v xml:space="preserve"> - </v>
      </c>
      <c r="AW21" s="557"/>
      <c r="AX21" s="558"/>
      <c r="AY21" s="557"/>
      <c r="AZ21" s="558"/>
      <c r="BA21" s="557"/>
      <c r="BB21" s="558"/>
      <c r="BC21" s="556" t="str">
        <f>IF(ISNUMBER(Datos!M21),Datos!M21," - ")</f>
        <v xml:space="preserve"> - </v>
      </c>
      <c r="BD21" s="697"/>
      <c r="BE21" s="697" t="str">
        <f>IF(ISNUMBER(Datos!BW21),Datos!BW21," - ")</f>
        <v xml:space="preserve"> - </v>
      </c>
      <c r="BF21" s="767" t="str">
        <f>IF(ISNUMBER(Datos!BX21),Datos!BX21," - ")</f>
        <v xml:space="preserve"> - </v>
      </c>
      <c r="BG21" s="768" t="str">
        <f>IF(ISNUMBER(Datos!K21/Datos!J21),Datos!K21/Datos!J21," - ")</f>
        <v xml:space="preserve"> - </v>
      </c>
      <c r="BH21" s="769" t="str">
        <f>IF(ISNUMBER(((Datos!L21/Datos!K21)*11)/factor_trimestre),((Datos!L21/Datos!K21)*11)/factor_trimestre," - ")</f>
        <v xml:space="preserve"> - </v>
      </c>
      <c r="BI21" s="768" t="str">
        <f>IF(ISNUMBER('Resol  Asuntos'!D21/NºAsuntos!G21),'Resol  Asuntos'!D21/NºAsuntos!G21," - ")</f>
        <v xml:space="preserve"> - </v>
      </c>
      <c r="BJ21" s="559" t="str">
        <f>IF(ISNUMBER(Datos!CI21/Datos!CJ21),Datos!CI21/Datos!CJ21," - ")</f>
        <v xml:space="preserve"> - </v>
      </c>
      <c r="BK21" s="753"/>
      <c r="BL21" s="559" t="str">
        <f>IF(ISNUMBER((I21-AB21+L21)/(F21)),(I21-AB21+L21)/(F21)," - ")</f>
        <v xml:space="preserve"> - </v>
      </c>
      <c r="BM21" s="772" t="str">
        <f>IF(ISNUMBER((Datos!P21-Datos!Q21+R21)/(Datos!R21-Datos!P21+Datos!Q21-R21)),(Datos!P21-Datos!Q21+R21)/(Datos!R21-Datos!P21+Datos!Q21-R21)," - ")</f>
        <v xml:space="preserve"> - </v>
      </c>
      <c r="BN21" s="758"/>
      <c r="BO21" s="846" t="str">
        <f>IF(ISNUMBER(Datos!EI21),Datos!EI21," - ")</f>
        <v xml:space="preserve"> - </v>
      </c>
      <c r="BP21" s="721" t="str">
        <f>IF(ISNUMBER(Datos!CW21),Datos!CW21," - ")</f>
        <v xml:space="preserve"> - </v>
      </c>
      <c r="BQ21" s="721" t="str">
        <f>IF(ISNUMBER(Datos!EJ21),Datos!EJ21," - ")</f>
        <v xml:space="preserve"> - </v>
      </c>
      <c r="BR21" s="721">
        <f>Datos!CX21</f>
        <v>0</v>
      </c>
      <c r="BS21" s="561">
        <f>Datos!DU21</f>
        <v>0</v>
      </c>
      <c r="BT21" s="1476">
        <f>400/factor_trimestre</f>
        <v>400</v>
      </c>
    </row>
    <row r="22" spans="1:72" s="582" customFormat="1" ht="15" thickBot="1">
      <c r="A22" s="749">
        <f>Datos!AO22</f>
        <v>0</v>
      </c>
      <c r="B22" s="750" t="s">
        <v>515</v>
      </c>
      <c r="C22" s="751" t="str">
        <f>Datos!A22</f>
        <v xml:space="preserve">Jdos. de lo Penal de Ejecutorias                </v>
      </c>
      <c r="D22" s="605"/>
      <c r="E22" s="721">
        <f>IF(ISNUMBER(Datos!AQ22),Datos!AQ22," - ")</f>
        <v>0</v>
      </c>
      <c r="F22" s="556" t="str">
        <f>IF(ISNUMBER(Datos!L22+Datos!K22-Datos!J22),Datos!L22+Datos!K22-Datos!J22," - ")</f>
        <v xml:space="preserve"> - </v>
      </c>
      <c r="G22" s="547" t="str">
        <f>IF(ISNUMBER(Datos!I22),Datos!I22," - ")</f>
        <v xml:space="preserve"> - </v>
      </c>
      <c r="H22" s="551"/>
      <c r="I22" s="556" t="str">
        <f>IF(ISNUMBER(Datos!DB22),Datos!DB22," - ")</f>
        <v xml:space="preserve"> - </v>
      </c>
      <c r="J22" s="551" t="str">
        <f>IF(ISNUMBER(Datos!DC22),Datos!DC22," - ")</f>
        <v xml:space="preserve"> - </v>
      </c>
      <c r="K22" s="774"/>
      <c r="L22" s="551">
        <f>IF(ISNUMBER(Datos!DF22),Datos!DF22,0)</f>
        <v>0</v>
      </c>
      <c r="M22" s="551">
        <f>IF(ISNUMBER(Datos!DM22),Datos!DM22,0)</f>
        <v>0</v>
      </c>
      <c r="N22" s="553"/>
      <c r="O22" s="553"/>
      <c r="P22" s="553"/>
      <c r="Q22" s="551">
        <f>IF(ISNUMBER(Datos!P22),Datos!P22,0)</f>
        <v>0</v>
      </c>
      <c r="R22" s="551" t="str">
        <f>IF(ISNUMBER(Datos!DE22),Datos!DE22," - ")</f>
        <v xml:space="preserve"> - </v>
      </c>
      <c r="S22" s="815"/>
      <c r="T22" s="815"/>
      <c r="U22" s="551" t="str">
        <f>IF(ISNUMBER(Datos!AS22/1),Datos!AS22/1," - ")</f>
        <v xml:space="preserve"> - </v>
      </c>
      <c r="V22" s="552" t="str">
        <f>IF(ISNUMBER(U22/(Datos!BM22/factor_trimestre)),U22/(Datos!BM22/factor_trimestre)," - ")</f>
        <v xml:space="preserve"> - </v>
      </c>
      <c r="W22" s="551" t="str">
        <f>IF(ISNUMBER(Datos!EO22),Datos!EO22," - ")</f>
        <v xml:space="preserve"> - </v>
      </c>
      <c r="X22" s="1327" t="e">
        <f>(W22/Datos!ER22)*factor_trimestre</f>
        <v>#VALUE!</v>
      </c>
      <c r="Y22" s="812"/>
      <c r="Z22" s="556" t="str">
        <f>IF(ISNUMBER(Datos!BY22),Datos!BY22," - ")</f>
        <v xml:space="preserve"> - </v>
      </c>
      <c r="AA22" s="552" t="str">
        <f>IF(ISNUMBER((Z22*factor_trimestre)/DatosB!CN22),(Z22*factor_trimestre)/DatosB!CN22,"-")</f>
        <v>-</v>
      </c>
      <c r="AB22" s="556" t="str">
        <f>IF(ISNUMBER(Datos!K22),Datos!K22," - ")</f>
        <v xml:space="preserve"> - </v>
      </c>
      <c r="AC22" s="551" t="str">
        <f>IF(ISNUMBER(Datos!Q22),Datos!Q22," - ")</f>
        <v xml:space="preserve"> - </v>
      </c>
      <c r="AD22" s="374"/>
      <c r="AE22" s="566"/>
      <c r="AF22" s="555"/>
      <c r="AG22" s="553"/>
      <c r="AH22" s="374"/>
      <c r="AI22" s="374"/>
      <c r="AJ22" s="553"/>
      <c r="AK22" s="553"/>
      <c r="AL22" s="554"/>
      <c r="AM22" s="771" t="str">
        <f>IF(ISNUMBER(Datos!R22),Datos!R22," - ")</f>
        <v xml:space="preserve"> - </v>
      </c>
      <c r="AN22" s="553"/>
      <c r="AO22" s="553"/>
      <c r="AP22" s="553"/>
      <c r="AQ22" s="553"/>
      <c r="AR22" s="553"/>
      <c r="AS22" s="553"/>
      <c r="AT22" s="556"/>
      <c r="AU22" s="557"/>
      <c r="AV22" s="558"/>
      <c r="AW22" s="557"/>
      <c r="AX22" s="558"/>
      <c r="AY22" s="557"/>
      <c r="AZ22" s="558"/>
      <c r="BA22" s="557"/>
      <c r="BB22" s="558"/>
      <c r="BC22" s="556"/>
      <c r="BD22" s="697" t="str">
        <f>IF(ISNUMBER(Datos!N22),Datos!N22," - ")</f>
        <v xml:space="preserve"> - </v>
      </c>
      <c r="BE22" s="697"/>
      <c r="BF22" s="767"/>
      <c r="BG22" s="768" t="str">
        <f>IF(ISNUMBER(Datos!Q22/Datos!P22),Datos!Q22/Datos!P22," - ")</f>
        <v xml:space="preserve"> - </v>
      </c>
      <c r="BH22" s="769" t="str">
        <f>IF(ISNUMBER(((Datos!R22/Datos!Q22)*11)/factor_trimestre),((Datos!R22/Datos!Q22)*11)/factor_trimestre," - ")</f>
        <v xml:space="preserve"> - </v>
      </c>
      <c r="BI22" s="768"/>
      <c r="BJ22" s="559"/>
      <c r="BK22" s="753"/>
      <c r="BL22" s="559"/>
      <c r="BM22" s="772" t="str">
        <f>IF(ISNUMBER((Datos!P22-Datos!Q22+R22)/(Datos!R22-Datos!P22+Datos!Q22-R22)),(Datos!P22-Datos!Q22+R22)/(Datos!R22-Datos!P22+Datos!Q22-R22)," - ")</f>
        <v xml:space="preserve"> - </v>
      </c>
      <c r="BN22" s="758"/>
      <c r="BO22" s="846" t="str">
        <f>IF(ISNUMBER(Datos!EI22),Datos!EI22," - ")</f>
        <v xml:space="preserve"> - </v>
      </c>
      <c r="BP22" s="721" t="str">
        <f>IF(ISNUMBER(Datos!CW22),Datos!CW22," - ")</f>
        <v xml:space="preserve"> - </v>
      </c>
      <c r="BQ22" s="721" t="str">
        <f>IF(ISNUMBER(Datos!EJ22),Datos!EJ22," - ")</f>
        <v xml:space="preserve"> - </v>
      </c>
      <c r="BR22" s="721">
        <f>Datos!CX22</f>
        <v>0</v>
      </c>
      <c r="BS22" s="561">
        <f>Datos!DU22</f>
        <v>0</v>
      </c>
      <c r="BT22" s="1476">
        <f>Datos!ER22/factor_trimestre</f>
        <v>2400</v>
      </c>
    </row>
    <row r="23" spans="1:72" ht="15.75" thickTop="1" thickBot="1">
      <c r="A23" s="191"/>
      <c r="B23" s="191"/>
      <c r="C23" s="1163" t="str">
        <f>Datos!A23</f>
        <v>TOTAL</v>
      </c>
      <c r="D23" s="1199"/>
      <c r="E23" s="1199">
        <f>SUBTOTAL(9,E16:E22)</f>
        <v>17</v>
      </c>
      <c r="F23" s="1200">
        <f>SUBTOTAL(9,F16:F22)</f>
        <v>6112</v>
      </c>
      <c r="G23" s="1200">
        <f>SUBTOTAL(9,G16:G22)</f>
        <v>6189</v>
      </c>
      <c r="H23" s="1201">
        <f>SUBTOTAL(9,H16:H22)</f>
        <v>0</v>
      </c>
      <c r="I23" s="1200">
        <f>SUBTOTAL(9,I16:I22)</f>
        <v>0</v>
      </c>
      <c r="J23" s="1167">
        <f>SUBTOTAL(9,J15:J22)</f>
        <v>0</v>
      </c>
      <c r="K23" s="1167">
        <f>SUBTOTAL(9,K15:K22)</f>
        <v>0</v>
      </c>
      <c r="L23" s="1201">
        <f t="shared" ref="L23:V23" si="4">SUBTOTAL(9,L16:L22)</f>
        <v>0</v>
      </c>
      <c r="M23" s="1201">
        <f t="shared" si="4"/>
        <v>0</v>
      </c>
      <c r="N23" s="1201">
        <f t="shared" si="4"/>
        <v>0</v>
      </c>
      <c r="O23" s="1202">
        <f t="shared" si="4"/>
        <v>0</v>
      </c>
      <c r="P23" s="1202">
        <f t="shared" si="4"/>
        <v>0</v>
      </c>
      <c r="Q23" s="1201">
        <f t="shared" si="4"/>
        <v>2006</v>
      </c>
      <c r="R23" s="1201">
        <f t="shared" si="4"/>
        <v>0</v>
      </c>
      <c r="S23" s="1203">
        <f t="shared" si="4"/>
        <v>0</v>
      </c>
      <c r="T23" s="1203">
        <f t="shared" si="4"/>
        <v>0</v>
      </c>
      <c r="U23" s="1201">
        <f t="shared" si="4"/>
        <v>0</v>
      </c>
      <c r="V23" s="1486">
        <f t="shared" si="4"/>
        <v>0</v>
      </c>
      <c r="W23" s="1164">
        <f>SUBTOTAL(9,W15:W22)</f>
        <v>0</v>
      </c>
      <c r="X23" s="1330" t="e">
        <f>SUBTOTAL(9,X15:X22)</f>
        <v>#VALUE!</v>
      </c>
      <c r="Y23" s="1202">
        <f>SUBTOTAL(9,Y16:Y22)</f>
        <v>0</v>
      </c>
      <c r="Z23" s="1201">
        <f>SUBTOTAL(9,Z16:Z22)</f>
        <v>0</v>
      </c>
      <c r="AA23" s="1204" t="str">
        <f>IF(ISNUMBER((Z23*factor_trimestre)/Datos!CN23),(Z23*factor_trimestre)/Datos!CN23,"-")</f>
        <v>-</v>
      </c>
      <c r="AB23" s="1201">
        <f t="shared" ref="AB23:BF23" si="5">SUBTOTAL(9,AB16:AB22)</f>
        <v>76411</v>
      </c>
      <c r="AC23" s="1201">
        <f t="shared" si="5"/>
        <v>2007</v>
      </c>
      <c r="AD23" s="1201">
        <f t="shared" si="5"/>
        <v>0</v>
      </c>
      <c r="AE23" s="1201">
        <f t="shared" si="5"/>
        <v>0</v>
      </c>
      <c r="AF23" s="1201">
        <f t="shared" si="5"/>
        <v>5699</v>
      </c>
      <c r="AG23" s="1201">
        <f t="shared" si="5"/>
        <v>0</v>
      </c>
      <c r="AH23" s="1201">
        <f t="shared" si="5"/>
        <v>0</v>
      </c>
      <c r="AI23" s="1201">
        <f t="shared" si="5"/>
        <v>0</v>
      </c>
      <c r="AJ23" s="1201">
        <f t="shared" si="5"/>
        <v>0</v>
      </c>
      <c r="AK23" s="1201">
        <f t="shared" si="5"/>
        <v>0</v>
      </c>
      <c r="AL23" s="1201">
        <f t="shared" si="5"/>
        <v>0</v>
      </c>
      <c r="AM23" s="1201">
        <f t="shared" si="5"/>
        <v>1135</v>
      </c>
      <c r="AN23" s="1201">
        <f t="shared" si="5"/>
        <v>0</v>
      </c>
      <c r="AO23" s="1201">
        <f t="shared" si="5"/>
        <v>0</v>
      </c>
      <c r="AP23" s="1201">
        <f t="shared" si="5"/>
        <v>0</v>
      </c>
      <c r="AQ23" s="1201">
        <f t="shared" si="5"/>
        <v>0</v>
      </c>
      <c r="AR23" s="1201">
        <f t="shared" si="5"/>
        <v>0</v>
      </c>
      <c r="AS23" s="1201">
        <f t="shared" si="5"/>
        <v>0</v>
      </c>
      <c r="AT23" s="1201">
        <f t="shared" si="5"/>
        <v>0</v>
      </c>
      <c r="AU23" s="1201">
        <f t="shared" si="5"/>
        <v>0</v>
      </c>
      <c r="AV23" s="1201">
        <f t="shared" si="5"/>
        <v>0</v>
      </c>
      <c r="AW23" s="1201">
        <f t="shared" si="5"/>
        <v>0</v>
      </c>
      <c r="AX23" s="1201">
        <f t="shared" si="5"/>
        <v>0</v>
      </c>
      <c r="AY23" s="1201">
        <f t="shared" si="5"/>
        <v>0</v>
      </c>
      <c r="AZ23" s="1201">
        <f t="shared" si="5"/>
        <v>0</v>
      </c>
      <c r="BA23" s="1201">
        <f t="shared" si="5"/>
        <v>0</v>
      </c>
      <c r="BB23" s="1201">
        <f t="shared" si="5"/>
        <v>0</v>
      </c>
      <c r="BC23" s="1201">
        <f t="shared" si="5"/>
        <v>5910</v>
      </c>
      <c r="BD23" s="1201">
        <f t="shared" si="5"/>
        <v>55535</v>
      </c>
      <c r="BE23" s="1201">
        <f t="shared" si="5"/>
        <v>0</v>
      </c>
      <c r="BF23" s="1201">
        <f t="shared" si="5"/>
        <v>0</v>
      </c>
      <c r="BG23" s="1201">
        <f>IF(ISNUMBER(Datos!K23/Datos!J23),Datos!K23/Datos!J23," - ")</f>
        <v>1.0159280975363301</v>
      </c>
      <c r="BH23" s="1205">
        <f>IF(ISNUMBER(((Datos!L23/Datos!K23)*11)/factor_trimestre),((Datos!L23/Datos!K23)*11)/factor_trimestre," - ")</f>
        <v>0.82041852612843702</v>
      </c>
      <c r="BI23" s="1201">
        <f>SUBTOTAL(9,BI16:BI22)</f>
        <v>0.12781913682394178</v>
      </c>
      <c r="BJ23" s="1201">
        <f>SUBTOTAL(9,BJ16:BJ22)</f>
        <v>0</v>
      </c>
      <c r="BK23" s="1201">
        <f>SUBTOTAL(9,BK16:BK22)</f>
        <v>0</v>
      </c>
      <c r="BL23" s="1201">
        <f>IF(ISNUMBER((I23-AB23+L23)/(F23)),(I23-AB23+L23)/(F23)," - ")</f>
        <v>-12.501799738219896</v>
      </c>
      <c r="BM23" s="1208">
        <f>IF(ISNUMBER((Datos!P23-Datos!Q23)/(Datos!R23-Datos!P23+Datos!Q23)),(Datos!P23-Datos!Q23)/(Datos!R23-Datos!P23+Datos!Q23)," - ")</f>
        <v>-8.8028169014084509E-4</v>
      </c>
      <c r="BN23" s="1201">
        <f t="shared" ref="BN23:BT23" si="6">SUBTOTAL(9,BN16:BN22)</f>
        <v>0</v>
      </c>
      <c r="BO23" s="1201">
        <f t="shared" si="6"/>
        <v>0</v>
      </c>
      <c r="BP23" s="1201">
        <f t="shared" si="6"/>
        <v>0</v>
      </c>
      <c r="BQ23" s="1201">
        <f t="shared" si="6"/>
        <v>0</v>
      </c>
      <c r="BR23" s="1201">
        <f t="shared" si="6"/>
        <v>0</v>
      </c>
      <c r="BS23" s="1201">
        <f t="shared" si="6"/>
        <v>0</v>
      </c>
      <c r="BT23" s="1215">
        <f t="shared" si="6"/>
        <v>14815</v>
      </c>
    </row>
    <row r="24" spans="1:72" ht="15.75" thickTop="1">
      <c r="A24" s="608"/>
      <c r="B24" s="608"/>
      <c r="C24" s="73" t="str">
        <f>Datos!A24</f>
        <v xml:space="preserve">Jurisdicción Cont.-Admva.:                      </v>
      </c>
      <c r="D24" s="620"/>
      <c r="E24" s="621"/>
      <c r="F24" s="612"/>
      <c r="G24" s="622"/>
      <c r="H24" s="591"/>
      <c r="I24" s="590"/>
      <c r="J24" s="231"/>
      <c r="K24" s="231"/>
      <c r="L24" s="591"/>
      <c r="M24" s="591"/>
      <c r="N24" s="591"/>
      <c r="O24" s="591"/>
      <c r="P24" s="591"/>
      <c r="Q24" s="591"/>
      <c r="R24" s="591"/>
      <c r="S24" s="592"/>
      <c r="T24" s="592"/>
      <c r="U24" s="240"/>
      <c r="V24" s="1487"/>
      <c r="W24" s="327"/>
      <c r="X24" s="1331"/>
      <c r="Y24" s="591"/>
      <c r="Z24" s="623"/>
      <c r="AA24" s="624"/>
      <c r="AB24" s="590"/>
      <c r="AC24" s="591"/>
      <c r="AD24" s="591"/>
      <c r="AE24" s="591"/>
      <c r="AF24" s="590"/>
      <c r="AG24" s="591"/>
      <c r="AH24" s="591"/>
      <c r="AI24" s="591"/>
      <c r="AJ24" s="591"/>
      <c r="AK24" s="591"/>
      <c r="AL24" s="591"/>
      <c r="AM24" s="591"/>
      <c r="AN24" s="591"/>
      <c r="AO24" s="591"/>
      <c r="AP24" s="591"/>
      <c r="AQ24" s="591"/>
      <c r="AR24" s="591"/>
      <c r="AS24" s="615"/>
      <c r="AT24" s="612"/>
      <c r="AU24" s="616"/>
      <c r="AV24" s="617"/>
      <c r="AW24" s="598"/>
      <c r="AX24" s="593"/>
      <c r="AY24" s="594"/>
      <c r="AZ24" s="598"/>
      <c r="BA24" s="616"/>
      <c r="BB24" s="617"/>
      <c r="BC24" s="612"/>
      <c r="BD24" s="625"/>
      <c r="BE24" s="625"/>
      <c r="BF24" s="607"/>
      <c r="BG24" s="1054"/>
      <c r="BH24" s="1059"/>
      <c r="BI24" s="626"/>
      <c r="BJ24" s="627"/>
      <c r="BK24" s="711"/>
      <c r="BL24" s="627"/>
      <c r="BM24" s="628"/>
      <c r="BN24" s="729"/>
      <c r="BO24" s="729"/>
      <c r="BP24" s="627"/>
      <c r="BQ24" s="627"/>
      <c r="BR24" s="629"/>
      <c r="BS24" s="630"/>
      <c r="BT24" s="1478"/>
    </row>
    <row r="25" spans="1:72" ht="15" thickBot="1">
      <c r="A25" s="740">
        <f>Datos!AO25</f>
        <v>0</v>
      </c>
      <c r="B25" s="604" t="s">
        <v>516</v>
      </c>
      <c r="C25" s="7" t="str">
        <f>Datos!A25</f>
        <v xml:space="preserve">Jdos Cont.-Admvo.                               </v>
      </c>
      <c r="D25" s="553"/>
      <c r="E25" s="721">
        <f>IF(ISNUMBER(Datos!AQ25),Datos!AQ25," - ")</f>
        <v>0</v>
      </c>
      <c r="F25" s="556" t="str">
        <f>IF(ISNUMBER(Datos!L25+Datos!K25-Datos!J25),Datos!L25+Datos!K25-Datos!J25," - ")</f>
        <v xml:space="preserve"> - </v>
      </c>
      <c r="G25" s="547" t="str">
        <f>IF(ISNUMBER(Datos!I25),Datos!I25," - ")</f>
        <v xml:space="preserve"> - </v>
      </c>
      <c r="H25" s="240"/>
      <c r="I25" s="239" t="str">
        <f>IF(ISNUMBER(Datos!DB25),Datos!DB25," - ")</f>
        <v xml:space="preserve"> - </v>
      </c>
      <c r="J25" s="240" t="str">
        <f>IF(ISNUMBER(Datos!DC25),Datos!DC25," - ")</f>
        <v xml:space="preserve"> - </v>
      </c>
      <c r="K25" s="774"/>
      <c r="L25" s="240">
        <f>IF(ISNUMBER(Datos!DF25),Datos!DF25,0)</f>
        <v>0</v>
      </c>
      <c r="M25" s="551">
        <f>IF(ISNUMBER(Datos!DM25),Datos!DM25,0)</f>
        <v>0</v>
      </c>
      <c r="N25" s="553"/>
      <c r="O25" s="553"/>
      <c r="P25" s="553"/>
      <c r="Q25" s="240">
        <f>IF(ISNUMBER(Datos!P25),Datos!P25,0)</f>
        <v>0</v>
      </c>
      <c r="R25" s="240" t="str">
        <f>IF(ISNUMBER(Datos!DE25),Datos!DE25," - ")</f>
        <v xml:space="preserve"> - </v>
      </c>
      <c r="S25" s="394"/>
      <c r="T25" s="394"/>
      <c r="U25" s="240" t="str">
        <f>IF(ISNUMBER(Datos!AS25/1),Datos!AS25/1," - ")</f>
        <v xml:space="preserve"> - </v>
      </c>
      <c r="V25" s="379" t="str">
        <f>IF(ISNUMBER(U25/(Datos!BM25/factor_trimestre)),U25/(Datos!BM25/factor_trimestre)," - ")</f>
        <v xml:space="preserve"> - </v>
      </c>
      <c r="W25" s="551" t="str">
        <f>IF(ISNUMBER(Datos!EO25),Datos!EO25," - ")</f>
        <v xml:space="preserve"> - </v>
      </c>
      <c r="X25" s="1327" t="e">
        <f>(W25/Datos!ER25)*factor_trimestre</f>
        <v>#VALUE!</v>
      </c>
      <c r="Y25" s="812"/>
      <c r="Z25" s="239" t="str">
        <f>IF(ISNUMBER(Datos!BY25),Datos!BY25," - ")</f>
        <v xml:space="preserve"> - </v>
      </c>
      <c r="AA25" s="379" t="str">
        <f>IF(ISNUMBER((Z25*factor_trimestre)/DatosB!CN25),(Z25*factor_trimestre)/DatosB!CN25,"-")</f>
        <v>-</v>
      </c>
      <c r="AB25" s="239" t="str">
        <f>IF(ISNUMBER(Datos!K25),Datos!K25," - ")</f>
        <v xml:space="preserve"> - </v>
      </c>
      <c r="AC25" s="240" t="str">
        <f>IF(ISNUMBER(Datos!Q25),Datos!Q25," - ")</f>
        <v xml:space="preserve"> - </v>
      </c>
      <c r="AD25" s="374"/>
      <c r="AE25" s="566"/>
      <c r="AF25" s="372" t="str">
        <f>IF(ISNUMBER(Datos!L25),Datos!L25,"-")</f>
        <v>-</v>
      </c>
      <c r="AG25" s="553" t="str">
        <f>IF(ISNUMBER(Datos!DN25),Datos!DN25,"-")</f>
        <v>-</v>
      </c>
      <c r="AH25" s="374"/>
      <c r="AI25" s="374"/>
      <c r="AJ25" s="553"/>
      <c r="AK25" s="553" t="str">
        <f>IF(ISNUMBER(Datos!DO25),Datos!DO25,"-")</f>
        <v>-</v>
      </c>
      <c r="AL25" s="554"/>
      <c r="AM25" s="375" t="str">
        <f>IF(ISNUMBER(Datos!R25),Datos!R25," - ")</f>
        <v xml:space="preserve"> - </v>
      </c>
      <c r="AN25" s="555" t="str">
        <f>IF(ISNUMBER(Datos!DQ25),Datos!DQ25," - ")</f>
        <v xml:space="preserve"> - </v>
      </c>
      <c r="AO25" s="553" t="str">
        <f>IF(ISNUMBER(Datos!DR25),Datos!DR25," - ")</f>
        <v xml:space="preserve"> - </v>
      </c>
      <c r="AP25" s="553"/>
      <c r="AQ25" s="553" t="str">
        <f>IF(ISNUMBER(Datos!DT25),Datos!DT25," - ")</f>
        <v xml:space="preserve"> - </v>
      </c>
      <c r="AR25" s="553"/>
      <c r="AS25" s="243" t="str">
        <f>IF(ISNUMBER(Datos!BV25),Datos!BV25," - ")</f>
        <v xml:space="preserve"> - </v>
      </c>
      <c r="AT25" s="239" t="str">
        <f>IF(ISNUMBER(Datos!CK25),Datos!CK25," - ")</f>
        <v xml:space="preserve"> - </v>
      </c>
      <c r="AU25" s="324" t="str">
        <f>IF(ISNUMBER(Datos!CL25),Datos!CL25," - ")</f>
        <v xml:space="preserve"> - </v>
      </c>
      <c r="AV25" s="241" t="str">
        <f>IF(ISNUMBER(Datos!CM25),Datos!CM25," - ")</f>
        <v xml:space="preserve"> - </v>
      </c>
      <c r="AW25" s="556" t="str">
        <f>IF(ISNUMBER(Datos!DV25),Datos!DV25," - ")</f>
        <v xml:space="preserve"> - </v>
      </c>
      <c r="AX25" s="557" t="str">
        <f>IF(ISNUMBER(Datos!DW25),Datos!DW25," - ")</f>
        <v xml:space="preserve"> - </v>
      </c>
      <c r="AY25" s="558" t="str">
        <f>IF(ISNUMBER(Datos!DX25),Datos!DX25," - ")</f>
        <v xml:space="preserve"> - </v>
      </c>
      <c r="AZ25" s="556" t="str">
        <f>IF(ISNUMBER(Datos!DY25),Datos!DY25," - ")</f>
        <v xml:space="preserve"> - </v>
      </c>
      <c r="BA25" s="557" t="str">
        <f>IF(ISNUMBER(Datos!DZ25),Datos!DZ25," - ")</f>
        <v xml:space="preserve"> - </v>
      </c>
      <c r="BB25" s="558" t="str">
        <f>IF(ISNUMBER(Datos!EA25),Datos!EA25," - ")</f>
        <v xml:space="preserve"> - </v>
      </c>
      <c r="BC25" s="239" t="str">
        <f>IF(ISNUMBER(Datos!M25),Datos!M25," - ")</f>
        <v xml:space="preserve"> - </v>
      </c>
      <c r="BD25" s="239" t="str">
        <f>IF(ISNUMBER(Datos!N25),Datos!N25," - ")</f>
        <v xml:space="preserve"> - </v>
      </c>
      <c r="BE25" s="245" t="str">
        <f>IF(ISNUMBER(Datos!BW25),Datos!BW25," - ")</f>
        <v xml:space="preserve"> - </v>
      </c>
      <c r="BF25" s="246" t="str">
        <f>IF(ISNUMBER(Datos!BX25),Datos!BX25," - ")</f>
        <v xml:space="preserve"> - </v>
      </c>
      <c r="BG25" s="768" t="str">
        <f>IF(ISNUMBER(Datos!K25/Datos!J25),Datos!K25/Datos!J25," - ")</f>
        <v xml:space="preserve"> - </v>
      </c>
      <c r="BH25" s="769" t="str">
        <f>IF(ISNUMBER(((Datos!L25/Datos!K25)*11)/factor_trimestre),((Datos!L25/Datos!K25)*11)/factor_trimestre," - ")</f>
        <v xml:space="preserve"> - </v>
      </c>
      <c r="BI25" s="266"/>
      <c r="BJ25" s="244" t="str">
        <f>IF(ISNUMBER(Datos!CI25/Datos!CJ25),Datos!CI25/Datos!CJ25," - ")</f>
        <v xml:space="preserve"> - </v>
      </c>
      <c r="BK25" s="407"/>
      <c r="BL25" s="559" t="str">
        <f t="shared" ref="BL25:BL26" si="7">IF(ISNUMBER((I25-AB25+L25)/(F25)),(I25-AB25+L25)/(F25)," - ")</f>
        <v xml:space="preserve"> - </v>
      </c>
      <c r="BM25" s="332" t="str">
        <f>IF(ISNUMBER((Datos!P25-Datos!Q25+R25)/(Datos!R25-Datos!P25+Datos!Q25-R25)),(Datos!P25-Datos!Q25+R25)/(Datos!R25-Datos!P25+Datos!Q25-R25)," - ")</f>
        <v xml:space="preserve"> - </v>
      </c>
      <c r="BN25" s="727"/>
      <c r="BO25" s="727"/>
      <c r="BP25" s="290" t="str">
        <f>IF(ISNUMBER(Datos!CW25),Datos!CW25," - ")</f>
        <v xml:space="preserve"> - </v>
      </c>
      <c r="BQ25" s="290"/>
      <c r="BR25" s="560">
        <f>Datos!CX25</f>
        <v>0</v>
      </c>
      <c r="BS25" s="561">
        <f>Datos!DU25</f>
        <v>0</v>
      </c>
      <c r="BT25" s="1476">
        <f>Datos!ER25/factor_trimestre</f>
        <v>570</v>
      </c>
    </row>
    <row r="26" spans="1:72" ht="15.75" thickTop="1" thickBot="1">
      <c r="A26" s="191"/>
      <c r="B26" s="191"/>
      <c r="C26" s="1163" t="str">
        <f>Datos!A26</f>
        <v>TOTAL</v>
      </c>
      <c r="D26" s="1199"/>
      <c r="E26" s="1199">
        <f>SUBTOTAL(9,E23:E25)</f>
        <v>0</v>
      </c>
      <c r="F26" s="1200">
        <f t="shared" ref="F26:K26" si="8">SUBTOTAL(9,F25:F25)</f>
        <v>0</v>
      </c>
      <c r="G26" s="1200">
        <f t="shared" si="8"/>
        <v>0</v>
      </c>
      <c r="H26" s="1210">
        <f t="shared" si="8"/>
        <v>0</v>
      </c>
      <c r="I26" s="1200">
        <f t="shared" si="8"/>
        <v>0</v>
      </c>
      <c r="J26" s="1170">
        <f t="shared" si="8"/>
        <v>0</v>
      </c>
      <c r="K26" s="1170">
        <f t="shared" si="8"/>
        <v>0</v>
      </c>
      <c r="L26" s="1210">
        <f>SUBTOTAL(9,L22:L25)</f>
        <v>0</v>
      </c>
      <c r="M26" s="1210">
        <f>SUBTOTAL(9,M22:M25)</f>
        <v>0</v>
      </c>
      <c r="N26" s="1210">
        <f>SUBTOTAL(9,N22:N25)</f>
        <v>0</v>
      </c>
      <c r="O26" s="1210">
        <f>SUBTOTAL(9,O22:O25)</f>
        <v>0</v>
      </c>
      <c r="P26" s="1211">
        <f>SUBTOTAL(9,P22:P25)</f>
        <v>0</v>
      </c>
      <c r="Q26" s="1210">
        <f t="shared" ref="Q26:V26" si="9">SUBTOTAL(9,Q25:Q25)</f>
        <v>0</v>
      </c>
      <c r="R26" s="1210">
        <f t="shared" si="9"/>
        <v>0</v>
      </c>
      <c r="S26" s="1207">
        <f t="shared" si="9"/>
        <v>0</v>
      </c>
      <c r="T26" s="1207">
        <f t="shared" si="9"/>
        <v>0</v>
      </c>
      <c r="U26" s="1210">
        <f t="shared" si="9"/>
        <v>0</v>
      </c>
      <c r="V26" s="1488">
        <f t="shared" si="9"/>
        <v>0</v>
      </c>
      <c r="W26" s="1164">
        <f>SUBTOTAL(9,W23:W25)</f>
        <v>0</v>
      </c>
      <c r="X26" s="1330" t="e">
        <f>SUBTOTAL(9,X23:X25)</f>
        <v>#VALUE!</v>
      </c>
      <c r="Y26" s="1212"/>
      <c r="Z26" s="1200">
        <f>SUBTOTAL(9,Z23:Z25)</f>
        <v>0</v>
      </c>
      <c r="AA26" s="1204">
        <f>IF(ISNUMBER((Z26*factor_trimestre)/Datos!BM26),(Z26*factor_trimestre)/Datos!BM26,"-")</f>
        <v>0</v>
      </c>
      <c r="AB26" s="1201">
        <f t="shared" ref="AB26:BC26" si="10">SUBTOTAL(9,AB25:AB25)</f>
        <v>0</v>
      </c>
      <c r="AC26" s="1201">
        <f t="shared" si="10"/>
        <v>0</v>
      </c>
      <c r="AD26" s="1201">
        <f t="shared" si="10"/>
        <v>0</v>
      </c>
      <c r="AE26" s="1201">
        <f t="shared" si="10"/>
        <v>0</v>
      </c>
      <c r="AF26" s="1202">
        <f t="shared" si="10"/>
        <v>0</v>
      </c>
      <c r="AG26" s="1202">
        <f t="shared" si="10"/>
        <v>0</v>
      </c>
      <c r="AH26" s="1202">
        <f t="shared" si="10"/>
        <v>0</v>
      </c>
      <c r="AI26" s="1202">
        <f t="shared" si="10"/>
        <v>0</v>
      </c>
      <c r="AJ26" s="1201">
        <f t="shared" si="10"/>
        <v>0</v>
      </c>
      <c r="AK26" s="1202">
        <f t="shared" si="10"/>
        <v>0</v>
      </c>
      <c r="AL26" s="1202">
        <f t="shared" si="10"/>
        <v>0</v>
      </c>
      <c r="AM26" s="1202">
        <f t="shared" si="10"/>
        <v>0</v>
      </c>
      <c r="AN26" s="1213">
        <f t="shared" si="10"/>
        <v>0</v>
      </c>
      <c r="AO26" s="1213">
        <f t="shared" si="10"/>
        <v>0</v>
      </c>
      <c r="AP26" s="1213">
        <f t="shared" si="10"/>
        <v>0</v>
      </c>
      <c r="AQ26" s="1213">
        <f t="shared" si="10"/>
        <v>0</v>
      </c>
      <c r="AR26" s="1213">
        <f t="shared" si="10"/>
        <v>0</v>
      </c>
      <c r="AS26" s="1214">
        <f t="shared" si="10"/>
        <v>0</v>
      </c>
      <c r="AT26" s="1200">
        <f t="shared" si="10"/>
        <v>0</v>
      </c>
      <c r="AU26" s="1215">
        <f t="shared" si="10"/>
        <v>0</v>
      </c>
      <c r="AV26" s="1210">
        <f t="shared" si="10"/>
        <v>0</v>
      </c>
      <c r="AW26" s="1200">
        <f t="shared" si="10"/>
        <v>0</v>
      </c>
      <c r="AX26" s="1200">
        <f t="shared" si="10"/>
        <v>0</v>
      </c>
      <c r="AY26" s="1200">
        <f t="shared" si="10"/>
        <v>0</v>
      </c>
      <c r="AZ26" s="1200">
        <f t="shared" si="10"/>
        <v>0</v>
      </c>
      <c r="BA26" s="1215">
        <f t="shared" si="10"/>
        <v>0</v>
      </c>
      <c r="BB26" s="1210">
        <f t="shared" si="10"/>
        <v>0</v>
      </c>
      <c r="BC26" s="1200">
        <f t="shared" si="10"/>
        <v>0</v>
      </c>
      <c r="BD26" s="1214"/>
      <c r="BE26" s="1201">
        <f>SUBTOTAL(9,BE25:BE25)</f>
        <v>0</v>
      </c>
      <c r="BF26" s="1210">
        <f>SUBTOTAL(9,BF25:BF25)</f>
        <v>0</v>
      </c>
      <c r="BG26" s="1210" t="str">
        <f>IF(ISNUMBER(Datos!K26/Datos!J26),Datos!K26/Datos!J26," - ")</f>
        <v xml:space="preserve"> - </v>
      </c>
      <c r="BH26" s="1205" t="str">
        <f>IF(ISNUMBER(((Datos!L26/Datos!K26)*11)/factor_trimestre),((Datos!L26/Datos!K26)*11)/factor_trimestre," - ")</f>
        <v xml:space="preserve"> - </v>
      </c>
      <c r="BI26" s="1206"/>
      <c r="BJ26" s="1206" t="str">
        <f>IF(ISNUMBER(Datos!CI26/Datos!CJ26),Datos!CI26/Datos!CJ26," - ")</f>
        <v xml:space="preserve"> - </v>
      </c>
      <c r="BK26" s="1216"/>
      <c r="BL26" s="1201" t="str">
        <f t="shared" si="7"/>
        <v xml:space="preserve"> - </v>
      </c>
      <c r="BM26" s="1208" t="str">
        <f>IF(ISNUMBER((Datos!P26-Datos!Q26)/(Datos!R26-Datos!P26+Datos!Q26)),(Datos!P26-Datos!Q26)/(Datos!R26-Datos!P26+Datos!Q26)," - ")</f>
        <v xml:space="preserve"> - </v>
      </c>
      <c r="BN26" s="1217"/>
      <c r="BO26" s="1217"/>
      <c r="BP26" s="1199">
        <f>SUBTOTAL(9,BP23:BP25)</f>
        <v>0</v>
      </c>
      <c r="BQ26" s="1199">
        <f>SUBTOTAL(9,BQ23:BQ25)</f>
        <v>0</v>
      </c>
      <c r="BR26" s="1199">
        <f>SUBTOTAL(9,BR23:BR25)</f>
        <v>0</v>
      </c>
      <c r="BS26" s="1199">
        <f>SUBTOTAL(9,BS23:BS25)</f>
        <v>0</v>
      </c>
      <c r="BT26" s="1479">
        <f>SUBTOTAL(9,BT23:BT25)</f>
        <v>570</v>
      </c>
    </row>
    <row r="27" spans="1:72" ht="15" thickTop="1">
      <c r="A27" s="608"/>
      <c r="B27" s="608"/>
      <c r="C27" s="73" t="str">
        <f>Datos!A27</f>
        <v xml:space="preserve">Jurisdicción Social:                            </v>
      </c>
      <c r="D27" s="620"/>
      <c r="E27" s="632"/>
      <c r="F27" s="612"/>
      <c r="G27" s="622"/>
      <c r="H27" s="591"/>
      <c r="I27" s="590"/>
      <c r="J27" s="231"/>
      <c r="K27" s="231"/>
      <c r="L27" s="591"/>
      <c r="M27" s="591"/>
      <c r="N27" s="591"/>
      <c r="O27" s="591"/>
      <c r="P27" s="591"/>
      <c r="Q27" s="591"/>
      <c r="R27" s="591"/>
      <c r="S27" s="592"/>
      <c r="T27" s="592"/>
      <c r="U27" s="240"/>
      <c r="V27" s="600"/>
      <c r="W27" s="328"/>
      <c r="X27" s="1332"/>
      <c r="Y27" s="591"/>
      <c r="Z27" s="614"/>
      <c r="AA27" s="592"/>
      <c r="AB27" s="590"/>
      <c r="AC27" s="591"/>
      <c r="AD27" s="591"/>
      <c r="AE27" s="591"/>
      <c r="AF27" s="590"/>
      <c r="AG27" s="591"/>
      <c r="AH27" s="591"/>
      <c r="AI27" s="591"/>
      <c r="AJ27" s="591"/>
      <c r="AK27" s="591"/>
      <c r="AL27" s="591"/>
      <c r="AM27" s="591"/>
      <c r="AN27" s="591"/>
      <c r="AO27" s="591"/>
      <c r="AP27" s="591"/>
      <c r="AQ27" s="591"/>
      <c r="AR27" s="591"/>
      <c r="AS27" s="615"/>
      <c r="AT27" s="612"/>
      <c r="AU27" s="616"/>
      <c r="AV27" s="617"/>
      <c r="AW27" s="593"/>
      <c r="AX27" s="593"/>
      <c r="AY27" s="593"/>
      <c r="AZ27" s="593"/>
      <c r="BA27" s="616"/>
      <c r="BB27" s="617"/>
      <c r="BC27" s="612"/>
      <c r="BD27" s="625"/>
      <c r="BE27" s="625"/>
      <c r="BF27" s="607"/>
      <c r="BG27" s="768"/>
      <c r="BH27" s="769"/>
      <c r="BI27" s="266"/>
      <c r="BJ27" s="603"/>
      <c r="BK27" s="712"/>
      <c r="BL27" s="633"/>
      <c r="BM27" s="634"/>
      <c r="BN27" s="730"/>
      <c r="BO27" s="730"/>
      <c r="BP27" s="633"/>
      <c r="BQ27" s="633"/>
      <c r="BR27" s="635"/>
      <c r="BS27" s="636"/>
      <c r="BT27" s="1480"/>
    </row>
    <row r="28" spans="1:72" ht="14.25">
      <c r="A28" s="596">
        <f>Datos!AO28</f>
        <v>0</v>
      </c>
      <c r="B28" s="604" t="s">
        <v>517</v>
      </c>
      <c r="C28" s="7" t="str">
        <f>Datos!A28</f>
        <v xml:space="preserve">Jdos. de lo Social                              </v>
      </c>
      <c r="D28" s="553"/>
      <c r="E28" s="721">
        <f>IF(ISNUMBER(Datos!AQ28),Datos!AQ28," - ")</f>
        <v>0</v>
      </c>
      <c r="F28" s="556" t="str">
        <f>IF(ISNUMBER(Datos!L28+Datos!K28-Datos!J28),Datos!L28+Datos!K28-Datos!J28," - ")</f>
        <v xml:space="preserve"> - </v>
      </c>
      <c r="G28" s="547" t="str">
        <f>IF(ISNUMBER(Datos!I28),Datos!I28," - ")</f>
        <v xml:space="preserve"> - </v>
      </c>
      <c r="H28" s="240"/>
      <c r="I28" s="239" t="str">
        <f>IF(ISNUMBER(Datos!DB28),Datos!DB28," - ")</f>
        <v xml:space="preserve"> - </v>
      </c>
      <c r="J28" s="240" t="str">
        <f>IF(ISNUMBER(Datos!DC28),Datos!DC28," - ")</f>
        <v xml:space="preserve"> - </v>
      </c>
      <c r="K28" s="774"/>
      <c r="L28" s="240">
        <f>IF(ISNUMBER(Datos!DF28),Datos!DF28,0)</f>
        <v>0</v>
      </c>
      <c r="M28" s="551">
        <f>IF(ISNUMBER(Datos!DM28),Datos!DM28,0)</f>
        <v>0</v>
      </c>
      <c r="N28" s="553"/>
      <c r="O28" s="553"/>
      <c r="P28" s="553"/>
      <c r="Q28" s="240">
        <f>IF(ISNUMBER(Datos!P28),Datos!P28,0)</f>
        <v>0</v>
      </c>
      <c r="R28" s="240" t="str">
        <f>IF(ISNUMBER(Datos!DE28),Datos!DE28," - ")</f>
        <v xml:space="preserve"> - </v>
      </c>
      <c r="S28" s="394"/>
      <c r="T28" s="394"/>
      <c r="U28" s="240" t="str">
        <f>IF(ISNUMBER(Datos!AS28),Datos!AS28," - ")</f>
        <v xml:space="preserve"> - </v>
      </c>
      <c r="V28" s="379" t="str">
        <f>IF(ISNUMBER((U28/Datos!AQ28)/(Datos!BM28/factor_trimestre)),(U28/Datos!AQ28)/(Datos!BM28/factor_trimestre)," - ")</f>
        <v xml:space="preserve"> - </v>
      </c>
      <c r="W28" s="551" t="str">
        <f>IF(ISNUMBER(Datos!EO28),Datos!EO28," - ")</f>
        <v xml:space="preserve"> - </v>
      </c>
      <c r="X28" s="1327" t="e">
        <f>(W28/Datos!ER28)*factor_trimestre</f>
        <v>#VALUE!</v>
      </c>
      <c r="Y28" s="812"/>
      <c r="Z28" s="239" t="str">
        <f>IF(ISNUMBER(Datos!BY28),Datos!BY28," - ")</f>
        <v xml:space="preserve"> - </v>
      </c>
      <c r="AA28" s="379" t="str">
        <f>IF(ISNUMBER((Z28*factor_trimestre)/DatosB!CN28),(Z28*factor_trimestre)/DatosB!CN28,"-")</f>
        <v>-</v>
      </c>
      <c r="AB28" s="239" t="str">
        <f>IF(ISNUMBER(Datos!K28),Datos!K28," - ")</f>
        <v xml:space="preserve"> - </v>
      </c>
      <c r="AC28" s="240" t="str">
        <f>IF(ISNUMBER(Datos!Q28),Datos!Q28," - ")</f>
        <v xml:space="preserve"> - </v>
      </c>
      <c r="AD28" s="374"/>
      <c r="AE28" s="566"/>
      <c r="AF28" s="372" t="str">
        <f>IF(ISNUMBER(Datos!L28),Datos!L28,"-")</f>
        <v>-</v>
      </c>
      <c r="AG28" s="553"/>
      <c r="AH28" s="374"/>
      <c r="AI28" s="374"/>
      <c r="AJ28" s="553"/>
      <c r="AK28" s="553"/>
      <c r="AL28" s="554"/>
      <c r="AM28" s="375" t="str">
        <f>IF(ISNUMBER(Datos!R28),Datos!R28," - ")</f>
        <v xml:space="preserve"> - </v>
      </c>
      <c r="AN28" s="555"/>
      <c r="AO28" s="553"/>
      <c r="AP28" s="553"/>
      <c r="AQ28" s="553"/>
      <c r="AR28" s="553"/>
      <c r="AS28" s="243" t="str">
        <f>IF(ISNUMBER(Datos!BV28),Datos!BV28," - ")</f>
        <v xml:space="preserve"> - </v>
      </c>
      <c r="AT28" s="239" t="str">
        <f>IF(ISNUMBER(Datos!CK28),Datos!CK28," - ")</f>
        <v xml:space="preserve"> - </v>
      </c>
      <c r="AU28" s="324" t="str">
        <f>IF(ISNUMBER(Datos!CL28),Datos!CL28," - ")</f>
        <v xml:space="preserve"> - </v>
      </c>
      <c r="AV28" s="241" t="str">
        <f>IF(ISNUMBER(Datos!CM28),Datos!CM28," - ")</f>
        <v xml:space="preserve"> - </v>
      </c>
      <c r="AW28" s="556"/>
      <c r="AX28" s="557"/>
      <c r="AY28" s="558"/>
      <c r="AZ28" s="556"/>
      <c r="BA28" s="557"/>
      <c r="BB28" s="558"/>
      <c r="BC28" s="239" t="str">
        <f>IF(ISNUMBER(Datos!M28),Datos!M28," - ")</f>
        <v xml:space="preserve"> - </v>
      </c>
      <c r="BD28" s="239" t="str">
        <f>IF(ISNUMBER(Datos!N28),Datos!N28," - ")</f>
        <v xml:space="preserve"> - </v>
      </c>
      <c r="BE28" s="245" t="str">
        <f>IF(ISNUMBER(Datos!BW28),Datos!BW28," - ")</f>
        <v xml:space="preserve"> - </v>
      </c>
      <c r="BF28" s="246" t="str">
        <f>IF(ISNUMBER(Datos!BX28),Datos!BX28," - ")</f>
        <v xml:space="preserve"> - </v>
      </c>
      <c r="BG28" s="768" t="str">
        <f>IF(ISNUMBER(Datos!K28/Datos!J28),Datos!K28/Datos!J28," - ")</f>
        <v xml:space="preserve"> - </v>
      </c>
      <c r="BH28" s="769" t="str">
        <f>IF(ISNUMBER(((Datos!L28/Datos!K28)*11)/factor_trimestre),((Datos!L28/Datos!K28)*11)/factor_trimestre," - ")</f>
        <v xml:space="preserve"> - </v>
      </c>
      <c r="BI28" s="266"/>
      <c r="BJ28" s="244" t="str">
        <f>IF(ISNUMBER(Datos!CI28/Datos!CJ28),Datos!CI28/Datos!CJ28," - ")</f>
        <v xml:space="preserve"> - </v>
      </c>
      <c r="BK28" s="290" t="str">
        <f>IF(ISNUMBER(Datos!CJ28),Datos!CJ28," - ")</f>
        <v xml:space="preserve"> - </v>
      </c>
      <c r="BL28" s="559" t="str">
        <f t="shared" ref="BL28:BL30" si="11">IF(ISNUMBER((I28-AB28+L28)/(F28)),(I28-AB28+L28)/(F28)," - ")</f>
        <v xml:space="preserve"> - </v>
      </c>
      <c r="BM28" s="332" t="str">
        <f>IF(ISNUMBER((Datos!P28-Datos!Q28+R28)/(Datos!R28-Datos!P28+Datos!Q28-R28)),(Datos!P28-Datos!Q28+R28)/(Datos!R28-Datos!P28+Datos!Q28-R28)," - ")</f>
        <v xml:space="preserve"> - </v>
      </c>
      <c r="BN28" s="727"/>
      <c r="BO28" s="727"/>
      <c r="BP28" s="290" t="str">
        <f>IF(ISNUMBER(Datos!CW28),Datos!CW28," - ")</f>
        <v xml:space="preserve"> - </v>
      </c>
      <c r="BQ28" s="290"/>
      <c r="BR28" s="560">
        <f>Datos!CX28</f>
        <v>0</v>
      </c>
      <c r="BS28" s="561">
        <f>Datos!DU28</f>
        <v>0</v>
      </c>
      <c r="BT28" s="1476">
        <f>800/factor_trimestre</f>
        <v>800</v>
      </c>
    </row>
    <row r="29" spans="1:72" ht="15" thickBot="1">
      <c r="A29" s="596">
        <f>Datos!AO29</f>
        <v>0</v>
      </c>
      <c r="B29" s="604" t="s">
        <v>517</v>
      </c>
      <c r="C29" s="7" t="str">
        <f>Datos!A29</f>
        <v>Jdos. De lo Social de Ejecuciones</v>
      </c>
      <c r="D29" s="553"/>
      <c r="E29" s="721">
        <f>IF(ISNUMBER(Datos!AQ29),Datos!AQ29," - ")</f>
        <v>0</v>
      </c>
      <c r="F29" s="556" t="str">
        <f>IF(ISNUMBER(Datos!L29+Datos!K29-Datos!J29-L29),Datos!L29+Datos!K29-Datos!J29-L29," - ")</f>
        <v xml:space="preserve"> - </v>
      </c>
      <c r="G29" s="547" t="str">
        <f>IF(ISNUMBER(Datos!I29),Datos!I29," - ")</f>
        <v xml:space="preserve"> - </v>
      </c>
      <c r="H29" s="240"/>
      <c r="I29" s="239" t="str">
        <f>IF(ISNUMBER(Datos!DB29),Datos!DB29," - ")</f>
        <v xml:space="preserve"> - </v>
      </c>
      <c r="J29" s="240" t="str">
        <f>IF(ISNUMBER(Datos!DC29),Datos!DC29," - ")</f>
        <v xml:space="preserve"> - </v>
      </c>
      <c r="K29" s="774"/>
      <c r="L29" s="240">
        <f>IF(ISNUMBER(Datos!DF29),Datos!DF29,0)</f>
        <v>0</v>
      </c>
      <c r="M29" s="551">
        <f>IF(ISNUMBER(Datos!DM29),Datos!DM29,0)</f>
        <v>0</v>
      </c>
      <c r="N29" s="553"/>
      <c r="O29" s="553"/>
      <c r="P29" s="553"/>
      <c r="Q29" s="240">
        <f>IF(ISNUMBER(Datos!P29),Datos!P29,0)</f>
        <v>0</v>
      </c>
      <c r="R29" s="240" t="str">
        <f>IF(ISNUMBER(Datos!DE29),Datos!DE29," - ")</f>
        <v xml:space="preserve"> - </v>
      </c>
      <c r="S29" s="394"/>
      <c r="T29" s="394"/>
      <c r="U29" s="240" t="str">
        <f>IF(ISNUMBER(Datos!AS29),Datos!AS29," - ")</f>
        <v xml:space="preserve"> - </v>
      </c>
      <c r="V29" s="379" t="str">
        <f>IF(ISNUMBER((U29/Datos!AQ29)/(Datos!BM29/factor_trimestre)),(U29/Datos!AQ29)/(Datos!BM29/factor_trimestre)," - ")</f>
        <v xml:space="preserve"> - </v>
      </c>
      <c r="W29" s="551" t="str">
        <f>IF(ISNUMBER(Datos!EO29),Datos!EO29," - ")</f>
        <v xml:space="preserve"> - </v>
      </c>
      <c r="X29" s="1327" t="e">
        <f>((W29/Datos!AQ29)/Datos!ER29)*factor_trimestre</f>
        <v>#VALUE!</v>
      </c>
      <c r="Y29" s="812"/>
      <c r="Z29" s="239" t="str">
        <f>IF(ISNUMBER(Datos!BY29),Datos!BY29," - ")</f>
        <v xml:space="preserve"> - </v>
      </c>
      <c r="AA29" s="379" t="str">
        <f>IF(ISNUMBER((Z29*factor_trimestre)/DatosB!CN29),(Z29*factor_trimestre)/DatosB!CN29,"-")</f>
        <v>-</v>
      </c>
      <c r="AB29" s="239" t="str">
        <f>IF(ISNUMBER(Datos!K29),Datos!K29," - ")</f>
        <v xml:space="preserve"> - </v>
      </c>
      <c r="AC29" s="240" t="str">
        <f>IF(ISNUMBER(Datos!Q29),Datos!Q29," - ")</f>
        <v xml:space="preserve"> - </v>
      </c>
      <c r="AD29" s="374"/>
      <c r="AE29" s="566"/>
      <c r="AF29" s="372" t="str">
        <f>IF(ISNUMBER(Datos!L29),Datos!L29,"-")</f>
        <v>-</v>
      </c>
      <c r="AG29" s="553"/>
      <c r="AH29" s="374"/>
      <c r="AI29" s="374"/>
      <c r="AJ29" s="553"/>
      <c r="AK29" s="553"/>
      <c r="AL29" s="549"/>
      <c r="AM29" s="375" t="str">
        <f>IF(ISNUMBER(Datos!R29),Datos!R29," - ")</f>
        <v xml:space="preserve"> - </v>
      </c>
      <c r="AN29" s="555"/>
      <c r="AO29" s="553"/>
      <c r="AP29" s="374"/>
      <c r="AQ29" s="553"/>
      <c r="AR29" s="553"/>
      <c r="AS29" s="243" t="str">
        <f>IF(ISNUMBER(Datos!BV29),Datos!BV29," - ")</f>
        <v xml:space="preserve"> - </v>
      </c>
      <c r="AT29" s="239" t="str">
        <f>IF(ISNUMBER(Datos!CK29),Datos!CK29," - ")</f>
        <v xml:space="preserve"> - </v>
      </c>
      <c r="AU29" s="324" t="str">
        <f>IF(ISNUMBER(Datos!CL29),Datos!CL29," - ")</f>
        <v xml:space="preserve"> - </v>
      </c>
      <c r="AV29" s="241" t="str">
        <f>IF(ISNUMBER(Datos!CM29),Datos!CM29," - ")</f>
        <v xml:space="preserve"> - </v>
      </c>
      <c r="AW29" s="556"/>
      <c r="AX29" s="557"/>
      <c r="AY29" s="558"/>
      <c r="AZ29" s="556"/>
      <c r="BA29" s="557"/>
      <c r="BB29" s="558"/>
      <c r="BC29" s="239" t="str">
        <f>IF(ISNUMBER(Datos!M29),Datos!M29," - ")</f>
        <v xml:space="preserve"> - </v>
      </c>
      <c r="BD29" s="239" t="str">
        <f>IF(ISNUMBER(Datos!N29),Datos!N29," - ")</f>
        <v xml:space="preserve"> - </v>
      </c>
      <c r="BE29" s="245" t="str">
        <f>IF(ISNUMBER(Datos!BW29),Datos!BW29," - ")</f>
        <v xml:space="preserve"> - </v>
      </c>
      <c r="BF29" s="246" t="str">
        <f>IF(ISNUMBER(Datos!BX29),Datos!BX29," - ")</f>
        <v xml:space="preserve"> - </v>
      </c>
      <c r="BG29" s="768" t="str">
        <f>IF(ISNUMBER(Datos!K29/Datos!J29),Datos!K29/Datos!J29," - ")</f>
        <v xml:space="preserve"> - </v>
      </c>
      <c r="BH29" s="1060" t="str">
        <f>IF(ISNUMBER(((Datos!R29/Datos!Q29)*11)/factor_trimestre),((Datos!R29/Datos!Q29)*11)/factor_trimestre," - ")</f>
        <v xml:space="preserve"> - </v>
      </c>
      <c r="BI29" s="266"/>
      <c r="BJ29" s="244" t="str">
        <f>IF(ISNUMBER(Datos!CI29/Datos!CJ29),Datos!CI29/Datos!CJ29," - ")</f>
        <v xml:space="preserve"> - </v>
      </c>
      <c r="BK29" s="290" t="str">
        <f>IF(ISNUMBER(Datos!CJ29),Datos!CJ29," - ")</f>
        <v xml:space="preserve"> - </v>
      </c>
      <c r="BL29" s="559" t="str">
        <f t="shared" si="11"/>
        <v xml:space="preserve"> - </v>
      </c>
      <c r="BM29" s="332" t="str">
        <f>IF(ISNUMBER((Datos!P29-Datos!Q29+R29)/(Datos!R29-Datos!P29+Datos!Q29-R29)),(Datos!P29-Datos!Q29+R29)/(Datos!R29-Datos!P29+Datos!Q29-R29)," - ")</f>
        <v xml:space="preserve"> - </v>
      </c>
      <c r="BN29" s="727"/>
      <c r="BO29" s="727"/>
      <c r="BP29" s="290" t="str">
        <f>IF(ISNUMBER(Datos!CW29),Datos!CW29," - ")</f>
        <v xml:space="preserve"> - </v>
      </c>
      <c r="BQ29" s="290"/>
      <c r="BR29" s="560">
        <f>Datos!CX29</f>
        <v>0</v>
      </c>
      <c r="BS29" s="561">
        <f>Datos!DU29</f>
        <v>0</v>
      </c>
      <c r="BT29" s="1476">
        <f>Datos!ER29/factor_trimestre</f>
        <v>3500</v>
      </c>
    </row>
    <row r="30" spans="1:72" ht="15.75" thickTop="1" thickBot="1">
      <c r="A30" s="191"/>
      <c r="B30" s="191"/>
      <c r="C30" s="1163" t="str">
        <f>Datos!A30</f>
        <v>TOTAL</v>
      </c>
      <c r="D30" s="1199"/>
      <c r="E30" s="1199">
        <f>SUBTOTAL(9,E25:E29)</f>
        <v>0</v>
      </c>
      <c r="F30" s="1200">
        <f t="shared" ref="F30:K30" si="12">SUBTOTAL(9,F28:F29)</f>
        <v>0</v>
      </c>
      <c r="G30" s="1200">
        <f t="shared" si="12"/>
        <v>0</v>
      </c>
      <c r="H30" s="1210">
        <f t="shared" si="12"/>
        <v>0</v>
      </c>
      <c r="I30" s="1200">
        <f t="shared" si="12"/>
        <v>0</v>
      </c>
      <c r="J30" s="1170">
        <f t="shared" si="12"/>
        <v>0</v>
      </c>
      <c r="K30" s="1170">
        <f t="shared" si="12"/>
        <v>0</v>
      </c>
      <c r="L30" s="1210">
        <f>SUBTOTAL(9,L23:L29)</f>
        <v>0</v>
      </c>
      <c r="M30" s="1210">
        <f>SUBTOTAL(9,M23:M29)</f>
        <v>0</v>
      </c>
      <c r="N30" s="1210">
        <f>SUBTOTAL(9,N23:N29)</f>
        <v>0</v>
      </c>
      <c r="O30" s="1211"/>
      <c r="P30" s="1211"/>
      <c r="Q30" s="1210">
        <f t="shared" ref="Q30:V30" si="13">SUBTOTAL(9,Q28:Q29)</f>
        <v>0</v>
      </c>
      <c r="R30" s="1210">
        <f t="shared" si="13"/>
        <v>0</v>
      </c>
      <c r="S30" s="1207">
        <f t="shared" si="13"/>
        <v>0</v>
      </c>
      <c r="T30" s="1207">
        <f t="shared" si="13"/>
        <v>0</v>
      </c>
      <c r="U30" s="1210">
        <f t="shared" si="13"/>
        <v>0</v>
      </c>
      <c r="V30" s="1488">
        <f t="shared" si="13"/>
        <v>0</v>
      </c>
      <c r="W30" s="1164">
        <f>SUBTOTAL(9,W25:W29)</f>
        <v>0</v>
      </c>
      <c r="X30" s="1330" t="e">
        <f>SUBTOTAL(9,X25:X29)</f>
        <v>#VALUE!</v>
      </c>
      <c r="Y30" s="1211">
        <f>SUBTOTAL(9,Y28:Y29)</f>
        <v>0</v>
      </c>
      <c r="Z30" s="1200">
        <f>SUBTOTAL(9,Z25:Z29)</f>
        <v>0</v>
      </c>
      <c r="AA30" s="1204">
        <f>IF(ISNUMBER((Z30*factor_trimestre)/Datos!BM30),(Z30*factor_trimestre)/Datos!BM30,"-")</f>
        <v>0</v>
      </c>
      <c r="AB30" s="1201">
        <f t="shared" ref="AB30:AK30" si="14">SUBTOTAL(9,AB28:AB29)</f>
        <v>0</v>
      </c>
      <c r="AC30" s="1201">
        <f t="shared" si="14"/>
        <v>0</v>
      </c>
      <c r="AD30" s="1201">
        <f t="shared" si="14"/>
        <v>0</v>
      </c>
      <c r="AE30" s="1201">
        <f t="shared" si="14"/>
        <v>0</v>
      </c>
      <c r="AF30" s="1202">
        <f t="shared" si="14"/>
        <v>0</v>
      </c>
      <c r="AG30" s="1202">
        <f t="shared" si="14"/>
        <v>0</v>
      </c>
      <c r="AH30" s="1202">
        <f t="shared" si="14"/>
        <v>0</v>
      </c>
      <c r="AI30" s="1202">
        <f t="shared" si="14"/>
        <v>0</v>
      </c>
      <c r="AJ30" s="1201">
        <f t="shared" si="14"/>
        <v>0</v>
      </c>
      <c r="AK30" s="1202">
        <f t="shared" si="14"/>
        <v>0</v>
      </c>
      <c r="AL30" s="1202"/>
      <c r="AM30" s="1202">
        <f t="shared" ref="AM30:AV30" si="15">SUBTOTAL(9,AM28:AM29)</f>
        <v>0</v>
      </c>
      <c r="AN30" s="1202">
        <f t="shared" si="15"/>
        <v>0</v>
      </c>
      <c r="AO30" s="1202">
        <f t="shared" si="15"/>
        <v>0</v>
      </c>
      <c r="AP30" s="1202">
        <f t="shared" si="15"/>
        <v>0</v>
      </c>
      <c r="AQ30" s="1202">
        <f t="shared" si="15"/>
        <v>0</v>
      </c>
      <c r="AR30" s="1202">
        <f t="shared" si="15"/>
        <v>0</v>
      </c>
      <c r="AS30" s="1214">
        <f t="shared" si="15"/>
        <v>0</v>
      </c>
      <c r="AT30" s="1200">
        <f t="shared" si="15"/>
        <v>0</v>
      </c>
      <c r="AU30" s="1215">
        <f t="shared" si="15"/>
        <v>0</v>
      </c>
      <c r="AV30" s="1210">
        <f t="shared" si="15"/>
        <v>0</v>
      </c>
      <c r="AW30" s="1218"/>
      <c r="AX30" s="1218"/>
      <c r="AY30" s="1218"/>
      <c r="AZ30" s="1218"/>
      <c r="BA30" s="1215">
        <f>SUBTOTAL(9,BA28:BA29)</f>
        <v>0</v>
      </c>
      <c r="BB30" s="1210">
        <f>SUBTOTAL(9,BB28:BB29)</f>
        <v>0</v>
      </c>
      <c r="BC30" s="1200">
        <f>SUBTOTAL(9,BC28:BC29)</f>
        <v>0</v>
      </c>
      <c r="BD30" s="1214"/>
      <c r="BE30" s="1201">
        <f>SUBTOTAL(9,BE28:BE29)</f>
        <v>0</v>
      </c>
      <c r="BF30" s="1210">
        <f>SUBTOTAL(9,BF28:BF29)</f>
        <v>0</v>
      </c>
      <c r="BG30" s="1201" t="str">
        <f>IF(ISNUMBER(Datos!K30/Datos!J30),Datos!K30/Datos!J30," - ")</f>
        <v xml:space="preserve"> - </v>
      </c>
      <c r="BH30" s="1205" t="str">
        <f>IF(ISNUMBER(((Datos!L30/Datos!K30)*11)/factor_trimestre),((Datos!L30/Datos!K30)*11)/factor_trimestre," - ")</f>
        <v xml:space="preserve"> - </v>
      </c>
      <c r="BI30" s="1206"/>
      <c r="BJ30" s="1206" t="str">
        <f>IF(ISNUMBER(BL30/BM30),BL30/BM30," - ")</f>
        <v xml:space="preserve"> - </v>
      </c>
      <c r="BK30" s="1199">
        <f>SUBTOTAL(9,BK28:BK29)</f>
        <v>0</v>
      </c>
      <c r="BL30" s="1201" t="str">
        <f t="shared" si="11"/>
        <v xml:space="preserve"> - </v>
      </c>
      <c r="BM30" s="1208" t="str">
        <f>IF(ISNUMBER((Datos!P30-Datos!Q30)/(Datos!R30-Datos!P30+Datos!Q30)),(Datos!P30-Datos!Q30)/(Datos!R30-Datos!P30+Datos!Q30)," - ")</f>
        <v xml:space="preserve"> - </v>
      </c>
      <c r="BN30" s="1217"/>
      <c r="BO30" s="1217"/>
      <c r="BP30" s="1199">
        <f>SUBTOTAL(9,BP25:BP29)</f>
        <v>0</v>
      </c>
      <c r="BQ30" s="1199">
        <f>SUBTOTAL(9,BQ25:BQ29)</f>
        <v>0</v>
      </c>
      <c r="BR30" s="1199">
        <f>SUBTOTAL(9,BR25:BR29)</f>
        <v>0</v>
      </c>
      <c r="BS30" s="1199">
        <f>SUBTOTAL(9,BS25:BS29)</f>
        <v>0</v>
      </c>
      <c r="BT30" s="1479">
        <f>SUBTOTAL(9,BT25:BT29)</f>
        <v>4870</v>
      </c>
    </row>
    <row r="31" spans="1:72" ht="18.75" customHeight="1" thickTop="1" thickBot="1">
      <c r="A31" s="185"/>
      <c r="B31" s="185"/>
      <c r="C31" s="1118" t="str">
        <f>Datos!A31</f>
        <v>TOTAL JURISDICCIONES</v>
      </c>
      <c r="D31" s="1118"/>
      <c r="E31" s="1223">
        <f t="shared" ref="E31:R31" si="16">SUBTOTAL(9,E9:E30)</f>
        <v>41</v>
      </c>
      <c r="F31" s="1120">
        <f t="shared" si="16"/>
        <v>6377</v>
      </c>
      <c r="G31" s="1120">
        <f t="shared" si="16"/>
        <v>6449</v>
      </c>
      <c r="H31" s="1122">
        <f t="shared" si="16"/>
        <v>0</v>
      </c>
      <c r="I31" s="1120">
        <f t="shared" si="16"/>
        <v>0</v>
      </c>
      <c r="J31" s="1122">
        <f t="shared" si="16"/>
        <v>0</v>
      </c>
      <c r="K31" s="1122">
        <f t="shared" si="16"/>
        <v>0</v>
      </c>
      <c r="L31" s="1183">
        <f t="shared" si="16"/>
        <v>0</v>
      </c>
      <c r="M31" s="1183">
        <f t="shared" si="16"/>
        <v>0</v>
      </c>
      <c r="N31" s="1183">
        <f t="shared" si="16"/>
        <v>4536</v>
      </c>
      <c r="O31" s="1183">
        <f t="shared" si="16"/>
        <v>0</v>
      </c>
      <c r="P31" s="1183">
        <f t="shared" si="16"/>
        <v>0</v>
      </c>
      <c r="Q31" s="1122">
        <f t="shared" si="16"/>
        <v>9708</v>
      </c>
      <c r="R31" s="1122">
        <f t="shared" si="16"/>
        <v>0</v>
      </c>
      <c r="S31" s="1224">
        <f>IF(ISNUMBER(AVERAGE(S8:S30)),AVERAGE(S8:S30),"-")</f>
        <v>0</v>
      </c>
      <c r="T31" s="1224">
        <f>IF(ISNUMBER(AVERAGE(T8:T30)),AVERAGE(T8:T30),"-")</f>
        <v>0</v>
      </c>
      <c r="U31" s="1122">
        <f>SUBTOTAL(9,U9:U30)</f>
        <v>0</v>
      </c>
      <c r="V31" s="1489">
        <f>IF(ISNUMBER(AVERAGE(V8:V30)),AVERAGE(V8:V30),"-")</f>
        <v>0</v>
      </c>
      <c r="W31" s="1182">
        <f>SUBTOTAL(9,W9:W30)</f>
        <v>0</v>
      </c>
      <c r="X31" s="1489" t="str">
        <f>IF(ISNUMBER(AVERAGE(X8:X30)),AVERAGE(X8:X30),"-")</f>
        <v>-</v>
      </c>
      <c r="Y31" s="1225">
        <f>SUBTOTAL(9,Y9:Y30)</f>
        <v>0</v>
      </c>
      <c r="Z31" s="1131">
        <f>SUBTOTAL(9,Z9:Z30)</f>
        <v>0</v>
      </c>
      <c r="AA31" s="1226">
        <f>IF(ISNUMBER(AVERAGE(AA8:AA30)),AVERAGE(AA8:AA30),"-")</f>
        <v>0</v>
      </c>
      <c r="AB31" s="1121">
        <f t="shared" ref="AB31:BF31" si="17">SUBTOTAL(9,AB9:AB30)</f>
        <v>76943</v>
      </c>
      <c r="AC31" s="1121">
        <f t="shared" si="17"/>
        <v>12119</v>
      </c>
      <c r="AD31" s="1121">
        <f t="shared" si="17"/>
        <v>0</v>
      </c>
      <c r="AE31" s="1121">
        <f t="shared" si="17"/>
        <v>0</v>
      </c>
      <c r="AF31" s="1128">
        <f t="shared" si="17"/>
        <v>5903</v>
      </c>
      <c r="AG31" s="1128">
        <f t="shared" si="17"/>
        <v>0</v>
      </c>
      <c r="AH31" s="1128">
        <f t="shared" si="17"/>
        <v>756</v>
      </c>
      <c r="AI31" s="1128">
        <f t="shared" si="17"/>
        <v>0</v>
      </c>
      <c r="AJ31" s="1121">
        <f t="shared" si="17"/>
        <v>0</v>
      </c>
      <c r="AK31" s="1128">
        <f t="shared" si="17"/>
        <v>0</v>
      </c>
      <c r="AL31" s="1128">
        <f t="shared" si="17"/>
        <v>0</v>
      </c>
      <c r="AM31" s="1128">
        <f t="shared" si="17"/>
        <v>25537</v>
      </c>
      <c r="AN31" s="1129">
        <f t="shared" si="17"/>
        <v>0</v>
      </c>
      <c r="AO31" s="1129">
        <f t="shared" si="17"/>
        <v>0</v>
      </c>
      <c r="AP31" s="1129">
        <f t="shared" si="17"/>
        <v>0</v>
      </c>
      <c r="AQ31" s="1129">
        <f t="shared" si="17"/>
        <v>0</v>
      </c>
      <c r="AR31" s="1129">
        <f t="shared" si="17"/>
        <v>0</v>
      </c>
      <c r="AS31" s="1130">
        <f t="shared" si="17"/>
        <v>0</v>
      </c>
      <c r="AT31" s="1131">
        <f t="shared" si="17"/>
        <v>0</v>
      </c>
      <c r="AU31" s="1132">
        <f t="shared" si="17"/>
        <v>0</v>
      </c>
      <c r="AV31" s="1130">
        <f t="shared" si="17"/>
        <v>0</v>
      </c>
      <c r="AW31" s="1130">
        <f t="shared" si="17"/>
        <v>0</v>
      </c>
      <c r="AX31" s="1130">
        <f t="shared" si="17"/>
        <v>0</v>
      </c>
      <c r="AY31" s="1130">
        <f t="shared" si="17"/>
        <v>0</v>
      </c>
      <c r="AZ31" s="1130">
        <f t="shared" si="17"/>
        <v>0</v>
      </c>
      <c r="BA31" s="1132">
        <f t="shared" si="17"/>
        <v>0</v>
      </c>
      <c r="BB31" s="1120">
        <f t="shared" si="17"/>
        <v>0</v>
      </c>
      <c r="BC31" s="1120">
        <f t="shared" si="17"/>
        <v>17857</v>
      </c>
      <c r="BD31" s="1120">
        <f t="shared" si="17"/>
        <v>77534</v>
      </c>
      <c r="BE31" s="1120">
        <f t="shared" si="17"/>
        <v>0</v>
      </c>
      <c r="BF31" s="1130">
        <f t="shared" si="17"/>
        <v>0</v>
      </c>
      <c r="BG31" s="1227">
        <f>IF(ISNUMBER(Datos!K31/Datos!J31),Datos!K31/Datos!J31," - ")</f>
        <v>1.0270977338349812</v>
      </c>
      <c r="BH31" s="1227">
        <f>IF(ISNUMBER(((Datos!L31/Datos!K31)*11)/factor_trimestre),((Datos!L31/Datos!K31)*11)/factor_trimestre," - ")</f>
        <v>2.9693918406637869</v>
      </c>
      <c r="BI31" s="1106">
        <f>IF(ISNUMBER(Datos!J31/Datos!I31),Datos!J31/Datos!I31," - ")</f>
        <v>3.5360910862906469</v>
      </c>
      <c r="BJ31" s="1228" t="str">
        <f>IF(ISNUMBER(Datos!CI31/Datos!CJ31),Datos!CI31/Datos!CJ31," - ")</f>
        <v xml:space="preserve"> - </v>
      </c>
      <c r="BK31" s="1229">
        <f>SUBTOTAL(9,BK9:BK30)</f>
        <v>0</v>
      </c>
      <c r="BL31" s="1144">
        <f>IF(OR(ISNUMBER(FIND("01",Criterios!A8,1)),ISNUMBER(FIND("02",Criterios!A8,1)),ISNUMBER(FIND("03",Criterios!A8,1)),ISNUMBER(FIND("04",Criterios!A8,1))),(J31-AB31+L31)/(F31-L31),(I31-AB31+L31)/(F31-L31))</f>
        <v>-12.065704876901364</v>
      </c>
      <c r="BM31" s="1191">
        <f>IF(ISNUMBER((Datos!P31-Datos!Q31+R31)/(Datos!R31-Datos!P31+Datos!Q31-R31)),(Datos!P31-Datos!Q31+R31)/(Datos!R31-Datos!P31+Datos!Q31-R31)," - ")</f>
        <v>-8.6267353656791182E-2</v>
      </c>
      <c r="BN31" s="1230">
        <f t="shared" ref="BN31:BT31" si="18">SUBTOTAL(9,BN9:BN30)</f>
        <v>0</v>
      </c>
      <c r="BO31" s="1230">
        <f t="shared" si="18"/>
        <v>0</v>
      </c>
      <c r="BP31" s="1182">
        <f t="shared" si="18"/>
        <v>0</v>
      </c>
      <c r="BQ31" s="1182">
        <f t="shared" si="18"/>
        <v>0</v>
      </c>
      <c r="BR31" s="1182">
        <f t="shared" si="18"/>
        <v>0</v>
      </c>
      <c r="BS31" s="1182">
        <f t="shared" si="18"/>
        <v>0</v>
      </c>
      <c r="BT31" s="1481">
        <f t="shared" si="18"/>
        <v>25363</v>
      </c>
    </row>
    <row r="32" spans="1:72" ht="18.75" customHeight="1" thickTop="1" thickBot="1">
      <c r="A32" s="180"/>
      <c r="B32" s="180"/>
      <c r="C32" s="1138" t="s">
        <v>344</v>
      </c>
      <c r="D32" s="1232"/>
      <c r="E32" s="1232">
        <f ca="1">IF(ISNUMBER(SUMIF($B8:$B30,$B32,E8:E30)/INDIRECT("Datos!AP"&amp;ROW()-1)),SUMIF($B8:$B30,$B32,E8:E30)/INDIRECT("Datos!AP"&amp;ROW()-1),"-")</f>
        <v>0</v>
      </c>
      <c r="F32" s="1106">
        <f ca="1">IF(ISNUMBER(SUMIF($B8:$B30,$B32,F8:F30)/INDIRECT("Datos!AP"&amp;ROW()-1)),SUMIF($B8:$B30,$B32,F8:F30)/INDIRECT("Datos!AP"&amp;ROW()-1),"-")</f>
        <v>0</v>
      </c>
      <c r="G32" s="1123">
        <f>IF(ISNUMBER(AVERAGE(G8:G30)),AVERAGE(G8:G30),"-")</f>
        <v>1842.5714285714287</v>
      </c>
      <c r="H32" s="1108">
        <f t="shared" ref="H32:AN32" ca="1" si="19">IF(ISNUMBER(SUMIF($B8:$B30,$B32,H8:H30)/INDIRECT("Datos!AP"&amp;ROW()-1)),SUMIF($B8:$B30,$B32,H8:H30)/INDIRECT("Datos!AP"&amp;ROW()-1),"-")</f>
        <v>0</v>
      </c>
      <c r="I32" s="1106">
        <f t="shared" ca="1" si="19"/>
        <v>0</v>
      </c>
      <c r="J32" s="1108">
        <f t="shared" ca="1" si="19"/>
        <v>0</v>
      </c>
      <c r="K32" s="1108">
        <f t="shared" ca="1" si="19"/>
        <v>0</v>
      </c>
      <c r="L32" s="1108">
        <f t="shared" ca="1" si="19"/>
        <v>0</v>
      </c>
      <c r="M32" s="1108">
        <f t="shared" ca="1" si="19"/>
        <v>0</v>
      </c>
      <c r="N32" s="1108">
        <f t="shared" ca="1" si="19"/>
        <v>0</v>
      </c>
      <c r="O32" s="1108">
        <f t="shared" ca="1" si="19"/>
        <v>0</v>
      </c>
      <c r="P32" s="1108">
        <f t="shared" ca="1" si="19"/>
        <v>0</v>
      </c>
      <c r="Q32" s="1108">
        <f t="shared" ca="1" si="19"/>
        <v>0</v>
      </c>
      <c r="R32" s="1108">
        <f t="shared" ca="1" si="19"/>
        <v>0</v>
      </c>
      <c r="S32" s="1233">
        <f t="shared" ca="1" si="19"/>
        <v>0</v>
      </c>
      <c r="T32" s="1233">
        <f t="shared" ca="1" si="19"/>
        <v>0</v>
      </c>
      <c r="U32" s="1108">
        <f t="shared" ca="1" si="19"/>
        <v>0</v>
      </c>
      <c r="V32" s="1490">
        <f t="shared" ca="1" si="19"/>
        <v>0</v>
      </c>
      <c r="W32" s="1108">
        <f t="shared" ca="1" si="19"/>
        <v>0</v>
      </c>
      <c r="X32" s="1334">
        <f t="shared" ca="1" si="19"/>
        <v>0</v>
      </c>
      <c r="Y32" s="1234">
        <f t="shared" ca="1" si="19"/>
        <v>0</v>
      </c>
      <c r="Z32" s="1143">
        <f t="shared" ca="1" si="19"/>
        <v>0</v>
      </c>
      <c r="AA32" s="1141">
        <f t="shared" ca="1" si="19"/>
        <v>0</v>
      </c>
      <c r="AB32" s="1107">
        <f t="shared" ca="1" si="19"/>
        <v>0</v>
      </c>
      <c r="AC32" s="1107">
        <f t="shared" ca="1" si="19"/>
        <v>0</v>
      </c>
      <c r="AD32" s="1107">
        <f t="shared" ca="1" si="19"/>
        <v>0</v>
      </c>
      <c r="AE32" s="1107">
        <f t="shared" ca="1" si="19"/>
        <v>0</v>
      </c>
      <c r="AF32" s="1107">
        <f t="shared" ca="1" si="19"/>
        <v>0</v>
      </c>
      <c r="AG32" s="1107">
        <f t="shared" ca="1" si="19"/>
        <v>0</v>
      </c>
      <c r="AH32" s="1107">
        <f t="shared" ca="1" si="19"/>
        <v>0</v>
      </c>
      <c r="AI32" s="1107">
        <f t="shared" ca="1" si="19"/>
        <v>0</v>
      </c>
      <c r="AJ32" s="1107">
        <f t="shared" ca="1" si="19"/>
        <v>0</v>
      </c>
      <c r="AK32" s="1107">
        <f t="shared" ca="1" si="19"/>
        <v>0</v>
      </c>
      <c r="AL32" s="1107">
        <f t="shared" ca="1" si="19"/>
        <v>0</v>
      </c>
      <c r="AM32" s="1107">
        <f t="shared" ca="1" si="19"/>
        <v>0</v>
      </c>
      <c r="AN32" s="1142">
        <f t="shared" ca="1" si="19"/>
        <v>0</v>
      </c>
      <c r="AO32" s="1142">
        <f ca="1">IF(ISNUMBER(SUMIF($B8:$B30,$B32,AN8:AN30)/INDIRECT("Datos!AP"&amp;ROW()-1)),SUMIF($B8:$B30,$B32,AN8:AN30)/INDIRECT("Datos!AP"&amp;ROW()-1),"-")</f>
        <v>0</v>
      </c>
      <c r="AP32" s="1142">
        <f t="shared" ref="AP32:BI32" ca="1" si="20">IF(ISNUMBER(SUMIF($B8:$B30,$B32,AP8:AP30)/INDIRECT("Datos!AP"&amp;ROW()-1)),SUMIF($B8:$B30,$B32,AP8:AP30)/INDIRECT("Datos!AP"&amp;ROW()-1),"-")</f>
        <v>0</v>
      </c>
      <c r="AQ32" s="1142">
        <f t="shared" ca="1" si="20"/>
        <v>0</v>
      </c>
      <c r="AR32" s="1142">
        <f t="shared" ca="1" si="20"/>
        <v>0</v>
      </c>
      <c r="AS32" s="1108">
        <f t="shared" ca="1" si="20"/>
        <v>0</v>
      </c>
      <c r="AT32" s="1143">
        <f t="shared" ca="1" si="20"/>
        <v>0</v>
      </c>
      <c r="AU32" s="1142">
        <f t="shared" ca="1" si="20"/>
        <v>0</v>
      </c>
      <c r="AV32" s="1108">
        <f t="shared" ca="1" si="20"/>
        <v>0</v>
      </c>
      <c r="AW32" s="1235">
        <f t="shared" ca="1" si="20"/>
        <v>0</v>
      </c>
      <c r="AX32" s="1235">
        <f t="shared" ca="1" si="20"/>
        <v>0</v>
      </c>
      <c r="AY32" s="1235">
        <f t="shared" ca="1" si="20"/>
        <v>0</v>
      </c>
      <c r="AZ32" s="1235">
        <f t="shared" ca="1" si="20"/>
        <v>0</v>
      </c>
      <c r="BA32" s="1142">
        <f t="shared" ca="1" si="20"/>
        <v>0</v>
      </c>
      <c r="BB32" s="1106">
        <f t="shared" ca="1" si="20"/>
        <v>0</v>
      </c>
      <c r="BC32" s="1106">
        <f t="shared" ca="1" si="20"/>
        <v>0</v>
      </c>
      <c r="BD32" s="1106">
        <f t="shared" ca="1" si="20"/>
        <v>0</v>
      </c>
      <c r="BE32" s="1106">
        <f t="shared" ca="1" si="20"/>
        <v>0</v>
      </c>
      <c r="BF32" s="1108">
        <f t="shared" ca="1" si="20"/>
        <v>0</v>
      </c>
      <c r="BG32" s="1108">
        <f t="shared" ca="1" si="20"/>
        <v>0</v>
      </c>
      <c r="BH32" s="1108">
        <f t="shared" ca="1" si="20"/>
        <v>0</v>
      </c>
      <c r="BI32" s="1106">
        <f t="shared" ca="1" si="20"/>
        <v>0</v>
      </c>
      <c r="BJ32" s="1236" t="e">
        <f ca="1">INDIRECT("Datos!CI"&amp;ROW()-1)/INDIRECT("Datos!CJ"&amp;ROW()-1)</f>
        <v>#DIV/0!</v>
      </c>
      <c r="BK32" s="1237">
        <f ca="1">IF(ISNUMBER(SUMIF($B8:$B30,$B32,BK8:BK30)/INDIRECT("Datos!AP"&amp;ROW()-1)),SUMIF($B8:$B30,$B32,BK8:BK30)/INDIRECT("Datos!AP"&amp;ROW()-1),"-")</f>
        <v>0</v>
      </c>
      <c r="BL32" s="1144" t="e">
        <f ca="1">IF(OR(ISNUMBER(FIND("01",Criterios!A8,1)),ISNUMBER(FIND("02",Criterios!A8,1)),ISNUMBER(FIND("03",Criterios!A8,1)),ISNUMBER(FIND("04",Criterios!A8,1))),(J32-AB32+L32)/(F32-L32),(I32-AB32+L32)/(F32-L32))</f>
        <v>#DIV/0!</v>
      </c>
      <c r="BM32" s="1196">
        <f ca="1">IF(ISNUMBER(SUMIF($B8:$B30,$B32,BM8:BM30)/INDIRECT("Datos!AP"&amp;ROW()-1)),SUMIF($B8:$B30,$B32,BM8:BM30)/INDIRECT("Datos!AP"&amp;ROW()-1),"-")</f>
        <v>0</v>
      </c>
      <c r="BN32" s="1238">
        <f ca="1">IF(ISNUMBER(SUMIF($B8:$B30,$B32,BN8:BN30)/INDIRECT("Datos!AP"&amp;ROW()-1)),SUMIF($B8:$B30,$B32,BN8:BN30)/INDIRECT("Datos!AP"&amp;ROW()-1),"-")</f>
        <v>0</v>
      </c>
      <c r="BO32" s="1238">
        <f ca="1">IF(ISNUMBER(SUMIF($B8:$B30,$B32,BO8:BO30)/INDIRECT("Datos!AP"&amp;ROW()-1)),SUMIF($B8:$B30,$B32,BO8:BO30)/INDIRECT("Datos!AP"&amp;ROW()-1),"-")</f>
        <v>0</v>
      </c>
      <c r="BP32" s="1192">
        <f ca="1">IF(ISNUMBER(SUMIF($B8:$B30,$B32,BP8:BP30)/INDIRECT("Datos!AP"&amp;ROW()-1)),SUMIF($B8:$B30,$B32,BP8:BP30)/INDIRECT("Datos!AP"&amp;ROW()-1),"-")</f>
        <v>0</v>
      </c>
      <c r="BQ32" s="1192">
        <f ca="1">IF(ISNUMBER(SUMIF($B8:$B30,$B32,BQ8:BQ30)/INDIRECT("Datos!AP"&amp;ROW()-1)),SUMIF($B8:$B30,$B32,BQ8:BQ30)/INDIRECT("Datos!AP"&amp;ROW()-1),"-")</f>
        <v>0</v>
      </c>
      <c r="BR32" s="1192"/>
      <c r="BS32" s="1192"/>
      <c r="BT32" s="1109"/>
    </row>
    <row r="33" spans="1:72" ht="18.75" hidden="1" customHeight="1" thickTop="1" thickBot="1">
      <c r="A33" s="181"/>
      <c r="B33" s="181"/>
      <c r="C33" s="181" t="s">
        <v>345</v>
      </c>
      <c r="D33" s="562"/>
      <c r="E33" s="638">
        <f>IF(ISNUMBER(STDEV(E8:E30)),STDEV(E8:E30),"-")</f>
        <v>7.5649236728098321</v>
      </c>
      <c r="F33" s="677">
        <f>IF(ISNUMBER(STDEV(F8:F30)),STDEV(F8:F30),"-")</f>
        <v>3090.0739581224698</v>
      </c>
      <c r="G33" s="678">
        <f>IF(ISNUMBER(STDEV(G8:G30)),STDEV(G8:G30),"-")</f>
        <v>2739.9780934126011</v>
      </c>
      <c r="H33" s="679"/>
      <c r="I33" s="677">
        <f>IF(ISNUMBER(STDEV(I8:I30)),STDEV(I8:I30),"-")</f>
        <v>0</v>
      </c>
      <c r="J33" s="278">
        <f>IF(ISNUMBER(STDEV(J8:J30)),STDEV(J8:J30),"-")</f>
        <v>0</v>
      </c>
      <c r="K33" s="307"/>
      <c r="L33" s="679"/>
      <c r="M33" s="679"/>
      <c r="N33" s="679"/>
      <c r="O33" s="679"/>
      <c r="P33" s="679"/>
      <c r="Q33" s="679"/>
      <c r="R33" s="679"/>
      <c r="S33" s="680"/>
      <c r="T33" s="680"/>
      <c r="U33" s="679"/>
      <c r="V33" s="1491"/>
      <c r="W33" s="329"/>
      <c r="X33" s="1335"/>
      <c r="Y33" s="824"/>
      <c r="Z33" s="677">
        <f>IF(ISNUMBER(STDEV(Z8:Z30)),STDEV(Z8:Z30),"-")</f>
        <v>0</v>
      </c>
      <c r="AA33" s="680">
        <f>IF(ISNUMBER(STDEV(AA8:AA30)),STDEV(AA8:AA30),"-")</f>
        <v>0</v>
      </c>
      <c r="AB33" s="679">
        <f>IF(ISNUMBER(STDEV(AB8:AB30)),STDEV(AB8:AB30),"-")</f>
        <v>35486.119477500331</v>
      </c>
      <c r="AC33" s="681"/>
      <c r="AD33" s="681"/>
      <c r="AE33" s="681"/>
      <c r="AF33" s="681"/>
      <c r="AG33" s="681"/>
      <c r="AH33" s="681"/>
      <c r="AI33" s="681"/>
      <c r="AJ33" s="681"/>
      <c r="AK33" s="681"/>
      <c r="AL33" s="681"/>
      <c r="AM33" s="681"/>
      <c r="AN33" s="681"/>
      <c r="AO33" s="681"/>
      <c r="AP33" s="681"/>
      <c r="AQ33" s="681"/>
      <c r="AR33" s="681"/>
      <c r="AS33" s="682">
        <f>IF(ISNUMBER(STDEV(AS8:AS30)),STDEV(AS8:AS30),"-")</f>
        <v>0</v>
      </c>
      <c r="AT33" s="683">
        <f>IF(ISNUMBER(STDEV(AT8:AT30)),STDEV(AT8:AT30),"-")</f>
        <v>0</v>
      </c>
      <c r="AU33" s="681">
        <f>IF(ISNUMBER(STDEV(AU8:AU30)),STDEV(AU8:AU30),"-")</f>
        <v>0</v>
      </c>
      <c r="AV33" s="684"/>
      <c r="AW33" s="684"/>
      <c r="AX33" s="684"/>
      <c r="AY33" s="684"/>
      <c r="AZ33" s="684"/>
      <c r="BA33" s="681">
        <f>IF(ISNUMBER(STDEV(BA8:BA30)),STDEV(BA8:BA30),"-")</f>
        <v>0</v>
      </c>
      <c r="BB33" s="324"/>
      <c r="BC33" s="677">
        <f>IF(ISNUMBER(STDEV(BC8:BC30)),STDEV(BC8:BC30),"-")</f>
        <v>4395.6806008221802</v>
      </c>
      <c r="BD33" s="677"/>
      <c r="BE33" s="677">
        <f>IF(ISNUMBER(STDEV(BE8:BE30)),STDEV(BE8:BE30),"-")</f>
        <v>0</v>
      </c>
      <c r="BF33" s="682">
        <f>IF(ISNUMBER(STDEV(BF8:BF30)),STDEV(BF8:BF30),"-")</f>
        <v>0</v>
      </c>
      <c r="BG33" s="1055">
        <f>IF(ISNUMBER(STDEV(BG8:BG30)),STDEV(BG8:BG30),"-")</f>
        <v>4.984875352021053E-2</v>
      </c>
      <c r="BH33" s="1061">
        <f>IF(ISNUMBER(STDEV(BH8:BH30)),STDEV(BH8:BH30),"-")</f>
        <v>2.7125138077948487</v>
      </c>
      <c r="BI33" s="273">
        <f>IF(ISNUMBER(STDEV(BI8:BI30)),STDEV(BI8:BI30),"-")</f>
        <v>9.5257555797898325E-2</v>
      </c>
      <c r="BJ33" s="244" t="str">
        <f>IF(ISNUMBER(BL33/BM33),BL33/BM33," - ")</f>
        <v xml:space="preserve"> - </v>
      </c>
      <c r="BK33" s="713"/>
      <c r="BL33" s="685">
        <f>IF(ISNUMBER(STDEV(BL8:BL30)),STDEV(BL8:BL30),"-")</f>
        <v>7.4205571546060467</v>
      </c>
      <c r="BM33" s="686"/>
      <c r="BN33" s="731"/>
      <c r="BO33" s="731"/>
      <c r="BP33" s="687">
        <f>IF(ISNUMBER(STDEV(BP8:BP30)),STDEV(BP8:BP30),"-")</f>
        <v>0</v>
      </c>
      <c r="BQ33" s="687"/>
      <c r="BR33" s="688">
        <f>IF(ISNUMBER(STDEV(BR8:BR30)),STDEV(BR8:BR30),"-")</f>
        <v>0</v>
      </c>
      <c r="BS33" s="689">
        <f>IF(ISNUMBER(STDEV(BS8:BS30)),STDEV(BS8:BS30),"-")</f>
        <v>0</v>
      </c>
      <c r="BT33" s="1482">
        <f>IF(ISNUMBER(STDEV(BT8:BT30)),STDEV(BT8:BT30),"-")</f>
        <v>3383.4875757771883</v>
      </c>
    </row>
    <row r="34" spans="1:72" ht="12" customHeight="1" thickTop="1">
      <c r="C34" s="76"/>
      <c r="D34" s="563"/>
      <c r="F34" s="690"/>
      <c r="G34" s="691"/>
      <c r="H34" s="690"/>
      <c r="I34" s="690"/>
      <c r="L34" s="690"/>
      <c r="M34" s="690"/>
      <c r="N34" s="690"/>
      <c r="O34" s="714"/>
      <c r="P34" s="714"/>
      <c r="Q34" s="690"/>
      <c r="R34" s="690"/>
      <c r="S34" s="692"/>
      <c r="T34" s="692"/>
      <c r="U34" s="690"/>
      <c r="V34" s="1492"/>
      <c r="W34" s="102"/>
      <c r="X34" s="816"/>
      <c r="Y34" s="825"/>
      <c r="Z34" s="690"/>
      <c r="AA34" s="692"/>
      <c r="AB34" s="690"/>
      <c r="AC34" s="690"/>
      <c r="AD34" s="690"/>
      <c r="AE34" s="690"/>
      <c r="AF34" s="690"/>
      <c r="AG34" s="690"/>
      <c r="AH34" s="690"/>
      <c r="AI34" s="690"/>
      <c r="AJ34" s="690"/>
      <c r="AK34" s="690"/>
      <c r="AL34" s="690"/>
      <c r="AM34" s="690"/>
      <c r="AN34" s="690"/>
      <c r="AO34" s="690"/>
      <c r="AP34" s="690"/>
      <c r="AQ34" s="690"/>
      <c r="AR34" s="690"/>
      <c r="AS34" s="690"/>
      <c r="AT34" s="690"/>
      <c r="AU34" s="690"/>
      <c r="AV34" s="690"/>
      <c r="AW34" s="690"/>
      <c r="AX34" s="690"/>
      <c r="AY34" s="690"/>
      <c r="AZ34" s="690"/>
      <c r="BA34" s="690"/>
      <c r="BB34" s="324"/>
      <c r="BC34" s="690"/>
      <c r="BD34" s="690"/>
      <c r="BE34" s="690"/>
      <c r="BF34" s="690"/>
      <c r="BG34" s="691"/>
      <c r="BH34" s="691"/>
      <c r="BI34" s="690"/>
      <c r="BJ34" s="692"/>
      <c r="BK34" s="714"/>
      <c r="BL34" s="690" t="s">
        <v>549</v>
      </c>
      <c r="BM34" s="693"/>
      <c r="BN34" s="732"/>
      <c r="BO34" s="732"/>
      <c r="BP34" s="690"/>
      <c r="BQ34" s="690"/>
      <c r="BR34" s="694"/>
      <c r="BS34" s="695"/>
      <c r="BT34" s="695"/>
    </row>
    <row r="35" spans="1:72" ht="14.25">
      <c r="C35" s="173"/>
      <c r="D35" s="639"/>
      <c r="E35" s="640"/>
      <c r="F35" s="696"/>
      <c r="G35" s="697"/>
      <c r="H35" s="698"/>
      <c r="I35" s="698"/>
      <c r="J35" s="157"/>
      <c r="K35" s="157"/>
      <c r="L35" s="698"/>
      <c r="M35" s="698"/>
      <c r="N35" s="698"/>
      <c r="O35" s="406"/>
      <c r="P35" s="406"/>
      <c r="Q35" s="698"/>
      <c r="R35" s="698"/>
      <c r="S35" s="394"/>
      <c r="T35" s="394"/>
      <c r="U35" s="698"/>
      <c r="V35" s="1493"/>
      <c r="W35" s="330"/>
      <c r="X35" s="321"/>
      <c r="Y35" s="374"/>
      <c r="Z35" s="406"/>
      <c r="AA35" s="394"/>
      <c r="AB35" s="698"/>
      <c r="AC35" s="699"/>
      <c r="AD35" s="699"/>
      <c r="AE35" s="699"/>
      <c r="AF35" s="324"/>
      <c r="AG35" s="324"/>
      <c r="AH35" s="324"/>
      <c r="AI35" s="324"/>
      <c r="AJ35" s="324"/>
      <c r="AK35" s="699"/>
      <c r="AL35" s="699"/>
      <c r="AM35" s="699"/>
      <c r="AN35" s="699"/>
      <c r="AO35" s="699"/>
      <c r="AP35" s="699"/>
      <c r="AQ35" s="699"/>
      <c r="AR35" s="699"/>
      <c r="AS35" s="698"/>
      <c r="AT35" s="698"/>
      <c r="AU35" s="698"/>
      <c r="AV35" s="698"/>
      <c r="AW35" s="698"/>
      <c r="AX35" s="698"/>
      <c r="AY35" s="698"/>
      <c r="AZ35" s="698"/>
      <c r="BA35" s="698"/>
      <c r="BB35" s="698"/>
      <c r="BC35" s="698"/>
      <c r="BD35" s="698"/>
      <c r="BE35" s="698"/>
      <c r="BF35" s="698"/>
      <c r="BG35" s="1056"/>
      <c r="BH35" s="1056"/>
      <c r="BI35" s="698"/>
      <c r="BJ35" s="394"/>
      <c r="BK35" s="406"/>
      <c r="BL35" s="394"/>
      <c r="BM35" s="548"/>
      <c r="BN35" s="733"/>
      <c r="BO35" s="733"/>
      <c r="BP35" s="698"/>
      <c r="BQ35" s="698"/>
      <c r="BR35" s="700"/>
      <c r="BS35" s="700"/>
      <c r="BT35" s="1483"/>
    </row>
    <row r="36" spans="1:72" ht="14.25">
      <c r="C36" s="7"/>
      <c r="D36" s="643"/>
      <c r="E36" s="640"/>
      <c r="F36" s="696"/>
      <c r="G36" s="697"/>
      <c r="H36" s="698"/>
      <c r="I36" s="698"/>
      <c r="J36" s="157"/>
      <c r="K36" s="157"/>
      <c r="L36" s="698"/>
      <c r="M36" s="698"/>
      <c r="N36" s="698"/>
      <c r="O36" s="406"/>
      <c r="P36" s="406"/>
      <c r="Q36" s="698"/>
      <c r="R36" s="698"/>
      <c r="S36" s="394"/>
      <c r="T36" s="394"/>
      <c r="U36" s="698"/>
      <c r="V36" s="1493"/>
      <c r="W36" s="330"/>
      <c r="X36" s="321"/>
      <c r="Y36" s="374"/>
      <c r="Z36" s="406"/>
      <c r="AA36" s="394"/>
      <c r="AB36" s="698"/>
      <c r="AC36" s="699"/>
      <c r="AD36" s="699"/>
      <c r="AE36" s="699"/>
      <c r="AF36" s="324"/>
      <c r="AG36" s="324"/>
      <c r="AH36" s="324"/>
      <c r="AI36" s="324"/>
      <c r="AJ36" s="324"/>
      <c r="AK36" s="699"/>
      <c r="AL36" s="699"/>
      <c r="AM36" s="699"/>
      <c r="AN36" s="699"/>
      <c r="AO36" s="699"/>
      <c r="AP36" s="699"/>
      <c r="AQ36" s="699"/>
      <c r="AR36" s="699"/>
      <c r="AS36" s="698"/>
      <c r="AT36" s="698"/>
      <c r="AU36" s="698"/>
      <c r="AV36" s="698"/>
      <c r="AW36" s="698"/>
      <c r="AX36" s="698"/>
      <c r="AY36" s="698"/>
      <c r="AZ36" s="698"/>
      <c r="BA36" s="698"/>
      <c r="BB36" s="698"/>
      <c r="BC36" s="698"/>
      <c r="BD36" s="698"/>
      <c r="BE36" s="698"/>
      <c r="BF36" s="698"/>
      <c r="BG36" s="1056"/>
      <c r="BH36" s="1056"/>
      <c r="BI36" s="698"/>
      <c r="BJ36" s="394"/>
      <c r="BK36" s="406"/>
      <c r="BL36" s="394"/>
      <c r="BM36" s="548"/>
      <c r="BN36" s="733"/>
      <c r="BO36" s="733"/>
      <c r="BP36" s="698"/>
      <c r="BQ36" s="698"/>
      <c r="BR36" s="700"/>
      <c r="BS36" s="700"/>
      <c r="BT36" s="1483"/>
    </row>
    <row r="37" spans="1:72" ht="12.75" hidden="1" customHeight="1">
      <c r="C37" s="644" t="s">
        <v>342</v>
      </c>
      <c r="D37" s="643"/>
      <c r="E37" s="642">
        <f t="shared" ref="E37:P37" si="21">E35+2*E36</f>
        <v>0</v>
      </c>
      <c r="F37" s="602">
        <f t="shared" si="21"/>
        <v>0</v>
      </c>
      <c r="G37" s="631">
        <f t="shared" si="21"/>
        <v>0</v>
      </c>
      <c r="H37" s="645">
        <f>H35+2*H36</f>
        <v>0</v>
      </c>
      <c r="I37" s="645">
        <f t="shared" si="21"/>
        <v>0</v>
      </c>
      <c r="J37" s="155">
        <f>J35+2*J36</f>
        <v>0</v>
      </c>
      <c r="K37" s="155">
        <f>K35+2*K36</f>
        <v>0</v>
      </c>
      <c r="L37" s="645">
        <f t="shared" si="21"/>
        <v>0</v>
      </c>
      <c r="M37" s="645">
        <f t="shared" si="21"/>
        <v>0</v>
      </c>
      <c r="N37" s="645">
        <f t="shared" si="21"/>
        <v>0</v>
      </c>
      <c r="O37" s="645">
        <f t="shared" si="21"/>
        <v>0</v>
      </c>
      <c r="P37" s="645">
        <f t="shared" si="21"/>
        <v>0</v>
      </c>
      <c r="Q37" s="645">
        <f t="shared" ref="Q37:BO37" si="22">Q35+2*Q36</f>
        <v>0</v>
      </c>
      <c r="R37" s="645">
        <f t="shared" si="22"/>
        <v>0</v>
      </c>
      <c r="S37" s="646">
        <f t="shared" si="22"/>
        <v>0</v>
      </c>
      <c r="T37" s="646">
        <f t="shared" si="22"/>
        <v>0</v>
      </c>
      <c r="U37" s="645">
        <f t="shared" si="22"/>
        <v>0</v>
      </c>
      <c r="V37" s="805">
        <f t="shared" si="22"/>
        <v>0</v>
      </c>
      <c r="W37" s="808">
        <f t="shared" si="22"/>
        <v>0</v>
      </c>
      <c r="X37" s="805">
        <f t="shared" si="22"/>
        <v>0</v>
      </c>
      <c r="Y37" s="808">
        <f>Y35+2*Y36</f>
        <v>0</v>
      </c>
      <c r="Z37" s="598">
        <f t="shared" si="22"/>
        <v>0</v>
      </c>
      <c r="AA37" s="647">
        <f t="shared" si="22"/>
        <v>0</v>
      </c>
      <c r="AB37" s="598">
        <f t="shared" si="22"/>
        <v>0</v>
      </c>
      <c r="AC37" s="598">
        <f t="shared" si="22"/>
        <v>0</v>
      </c>
      <c r="AD37" s="598">
        <f t="shared" si="22"/>
        <v>0</v>
      </c>
      <c r="AE37" s="598"/>
      <c r="AF37" s="598">
        <f t="shared" si="22"/>
        <v>0</v>
      </c>
      <c r="AG37" s="598">
        <f t="shared" si="22"/>
        <v>0</v>
      </c>
      <c r="AH37" s="598">
        <f t="shared" si="22"/>
        <v>0</v>
      </c>
      <c r="AI37" s="598">
        <f t="shared" si="22"/>
        <v>0</v>
      </c>
      <c r="AJ37" s="598"/>
      <c r="AK37" s="598">
        <f t="shared" si="22"/>
        <v>0</v>
      </c>
      <c r="AL37" s="598">
        <f t="shared" si="22"/>
        <v>0</v>
      </c>
      <c r="AM37" s="598">
        <f t="shared" si="22"/>
        <v>0</v>
      </c>
      <c r="AN37" s="598">
        <f t="shared" si="22"/>
        <v>0</v>
      </c>
      <c r="AO37" s="598">
        <f t="shared" si="22"/>
        <v>0</v>
      </c>
      <c r="AP37" s="598">
        <f t="shared" si="22"/>
        <v>0</v>
      </c>
      <c r="AQ37" s="598">
        <f t="shared" si="22"/>
        <v>0</v>
      </c>
      <c r="AR37" s="598">
        <f t="shared" si="22"/>
        <v>0</v>
      </c>
      <c r="AS37" s="598">
        <f t="shared" si="22"/>
        <v>0</v>
      </c>
      <c r="AT37" s="598">
        <f t="shared" si="22"/>
        <v>0</v>
      </c>
      <c r="AU37" s="598">
        <f t="shared" si="22"/>
        <v>0</v>
      </c>
      <c r="AV37" s="598">
        <f t="shared" si="22"/>
        <v>0</v>
      </c>
      <c r="AW37" s="598">
        <f t="shared" si="22"/>
        <v>0</v>
      </c>
      <c r="AX37" s="598">
        <f t="shared" si="22"/>
        <v>0</v>
      </c>
      <c r="AY37" s="598">
        <f t="shared" si="22"/>
        <v>0</v>
      </c>
      <c r="AZ37" s="598">
        <f t="shared" si="22"/>
        <v>0</v>
      </c>
      <c r="BA37" s="598">
        <f>BA35+2*BA36</f>
        <v>0</v>
      </c>
      <c r="BB37" s="598">
        <f>BB35+2*BB36</f>
        <v>0</v>
      </c>
      <c r="BC37" s="598">
        <f t="shared" si="22"/>
        <v>0</v>
      </c>
      <c r="BD37" s="598">
        <f t="shared" si="22"/>
        <v>0</v>
      </c>
      <c r="BE37" s="598">
        <f t="shared" si="22"/>
        <v>0</v>
      </c>
      <c r="BF37" s="598">
        <f t="shared" si="22"/>
        <v>0</v>
      </c>
      <c r="BG37" s="1057">
        <f t="shared" si="22"/>
        <v>0</v>
      </c>
      <c r="BH37" s="1057">
        <f t="shared" si="22"/>
        <v>0</v>
      </c>
      <c r="BI37" s="641">
        <f>BI35+2*BI36</f>
        <v>0</v>
      </c>
      <c r="BJ37" s="647">
        <f t="shared" si="22"/>
        <v>0</v>
      </c>
      <c r="BK37" s="715">
        <f t="shared" si="22"/>
        <v>0</v>
      </c>
      <c r="BL37" s="806">
        <f t="shared" si="22"/>
        <v>0</v>
      </c>
      <c r="BM37" s="806">
        <f t="shared" si="22"/>
        <v>0</v>
      </c>
      <c r="BN37" s="598">
        <f t="shared" si="22"/>
        <v>0</v>
      </c>
      <c r="BO37" s="598">
        <f t="shared" si="22"/>
        <v>0</v>
      </c>
      <c r="BP37" s="598">
        <f>BP35+2*BP36</f>
        <v>0</v>
      </c>
      <c r="BQ37" s="598">
        <f>BQ35+2*BQ36</f>
        <v>0</v>
      </c>
      <c r="BR37" s="598">
        <f>(BR35-ultimoDiaTrim)+2*BR36</f>
        <v>0</v>
      </c>
      <c r="BS37" s="598">
        <f>BS35+2*BS36</f>
        <v>0</v>
      </c>
      <c r="BT37" s="637">
        <f>BT35+2*BT36</f>
        <v>0</v>
      </c>
    </row>
    <row r="38" spans="1:72" ht="12.75" hidden="1" customHeight="1">
      <c r="C38" s="644" t="s">
        <v>343</v>
      </c>
      <c r="D38" s="643"/>
      <c r="E38" s="642">
        <f t="shared" ref="E38:P38" si="23">MIN(0,E35-2*E36)</f>
        <v>0</v>
      </c>
      <c r="F38" s="602">
        <f t="shared" si="23"/>
        <v>0</v>
      </c>
      <c r="G38" s="631">
        <f t="shared" si="23"/>
        <v>0</v>
      </c>
      <c r="H38" s="598">
        <f>MIN(0,H35-2*H36)</f>
        <v>0</v>
      </c>
      <c r="I38" s="598">
        <f t="shared" si="23"/>
        <v>0</v>
      </c>
      <c r="J38" s="156">
        <f>MIN(0,J35-2*J36)</f>
        <v>0</v>
      </c>
      <c r="K38" s="156">
        <f>MIN(0,K35-2*K36)</f>
        <v>0</v>
      </c>
      <c r="L38" s="598">
        <f t="shared" si="23"/>
        <v>0</v>
      </c>
      <c r="M38" s="598">
        <f t="shared" si="23"/>
        <v>0</v>
      </c>
      <c r="N38" s="598">
        <f t="shared" si="23"/>
        <v>0</v>
      </c>
      <c r="O38" s="598">
        <f t="shared" si="23"/>
        <v>0</v>
      </c>
      <c r="P38" s="598">
        <f t="shared" si="23"/>
        <v>0</v>
      </c>
      <c r="Q38" s="598">
        <f t="shared" ref="Q38:AU38" si="24">MIN(0,Q35-2*Q36)</f>
        <v>0</v>
      </c>
      <c r="R38" s="598">
        <f t="shared" si="24"/>
        <v>0</v>
      </c>
      <c r="S38" s="647">
        <f t="shared" si="24"/>
        <v>0</v>
      </c>
      <c r="T38" s="647">
        <f t="shared" si="24"/>
        <v>0</v>
      </c>
      <c r="U38" s="598">
        <f t="shared" si="24"/>
        <v>0</v>
      </c>
      <c r="V38" s="806">
        <f t="shared" si="24"/>
        <v>0</v>
      </c>
      <c r="W38" s="601">
        <f t="shared" si="24"/>
        <v>0</v>
      </c>
      <c r="X38" s="806">
        <f t="shared" si="24"/>
        <v>0</v>
      </c>
      <c r="Y38" s="601">
        <f>MIN(0,Y35-2*Y36)</f>
        <v>0</v>
      </c>
      <c r="Z38" s="598">
        <f t="shared" si="24"/>
        <v>0</v>
      </c>
      <c r="AA38" s="647">
        <f t="shared" si="24"/>
        <v>0</v>
      </c>
      <c r="AB38" s="598">
        <f t="shared" si="24"/>
        <v>0</v>
      </c>
      <c r="AC38" s="598">
        <f t="shared" si="24"/>
        <v>0</v>
      </c>
      <c r="AD38" s="598">
        <f t="shared" si="24"/>
        <v>0</v>
      </c>
      <c r="AE38" s="598"/>
      <c r="AF38" s="598">
        <f t="shared" si="24"/>
        <v>0</v>
      </c>
      <c r="AG38" s="598">
        <f t="shared" si="24"/>
        <v>0</v>
      </c>
      <c r="AH38" s="598">
        <f t="shared" si="24"/>
        <v>0</v>
      </c>
      <c r="AI38" s="598">
        <f t="shared" si="24"/>
        <v>0</v>
      </c>
      <c r="AJ38" s="598"/>
      <c r="AK38" s="598">
        <f t="shared" si="24"/>
        <v>0</v>
      </c>
      <c r="AL38" s="598">
        <f t="shared" si="24"/>
        <v>0</v>
      </c>
      <c r="AM38" s="598">
        <f t="shared" si="24"/>
        <v>0</v>
      </c>
      <c r="AN38" s="598">
        <f t="shared" si="24"/>
        <v>0</v>
      </c>
      <c r="AO38" s="598">
        <f t="shared" si="24"/>
        <v>0</v>
      </c>
      <c r="AP38" s="598">
        <f t="shared" si="24"/>
        <v>0</v>
      </c>
      <c r="AQ38" s="598">
        <f t="shared" si="24"/>
        <v>0</v>
      </c>
      <c r="AR38" s="598">
        <f t="shared" si="24"/>
        <v>0</v>
      </c>
      <c r="AS38" s="598">
        <f t="shared" si="24"/>
        <v>0</v>
      </c>
      <c r="AT38" s="598">
        <f t="shared" si="24"/>
        <v>0</v>
      </c>
      <c r="AU38" s="598">
        <f t="shared" si="24"/>
        <v>0</v>
      </c>
      <c r="AV38" s="598">
        <f t="shared" ref="AV38:BB38" si="25">MIN(0,AV35-2*AV36)</f>
        <v>0</v>
      </c>
      <c r="AW38" s="598">
        <f t="shared" si="25"/>
        <v>0</v>
      </c>
      <c r="AX38" s="598">
        <f t="shared" si="25"/>
        <v>0</v>
      </c>
      <c r="AY38" s="598">
        <f t="shared" si="25"/>
        <v>0</v>
      </c>
      <c r="AZ38" s="598">
        <f t="shared" si="25"/>
        <v>0</v>
      </c>
      <c r="BA38" s="598">
        <f t="shared" si="25"/>
        <v>0</v>
      </c>
      <c r="BB38" s="598">
        <f t="shared" si="25"/>
        <v>0</v>
      </c>
      <c r="BC38" s="598">
        <f t="shared" ref="BC38:BO38" si="26">MIN(0,BC35-2*BC36)</f>
        <v>0</v>
      </c>
      <c r="BD38" s="598">
        <f t="shared" si="26"/>
        <v>0</v>
      </c>
      <c r="BE38" s="598">
        <f t="shared" si="26"/>
        <v>0</v>
      </c>
      <c r="BF38" s="598">
        <f t="shared" si="26"/>
        <v>0</v>
      </c>
      <c r="BG38" s="1057">
        <f t="shared" si="26"/>
        <v>0</v>
      </c>
      <c r="BH38" s="1057">
        <f t="shared" si="26"/>
        <v>0</v>
      </c>
      <c r="BI38" s="641">
        <f>MIN(0,BI35-2*BI36)</f>
        <v>0</v>
      </c>
      <c r="BJ38" s="647">
        <f t="shared" si="26"/>
        <v>0</v>
      </c>
      <c r="BK38" s="715">
        <f t="shared" si="26"/>
        <v>0</v>
      </c>
      <c r="BL38" s="806">
        <f t="shared" si="26"/>
        <v>0</v>
      </c>
      <c r="BM38" s="806">
        <f t="shared" si="26"/>
        <v>0</v>
      </c>
      <c r="BN38" s="598">
        <f t="shared" si="26"/>
        <v>0</v>
      </c>
      <c r="BO38" s="598">
        <f t="shared" si="26"/>
        <v>0</v>
      </c>
      <c r="BP38" s="598">
        <f>MIN(0,BP35-2*BP36)</f>
        <v>0</v>
      </c>
      <c r="BQ38" s="598">
        <f>MIN(0,BQ35-2*BQ36)</f>
        <v>0</v>
      </c>
      <c r="BR38" s="598">
        <f>MIN(0,(BR35-ultimoDiaTrim)-2*BR36)</f>
        <v>0</v>
      </c>
      <c r="BS38" s="598">
        <f>BS36+2*BS37</f>
        <v>0</v>
      </c>
      <c r="BT38" s="637">
        <f>BT36+2*BT37</f>
        <v>0</v>
      </c>
    </row>
    <row r="39" spans="1:72">
      <c r="C39" s="74"/>
      <c r="D39" s="564"/>
    </row>
    <row r="42" spans="1:72">
      <c r="C42" s="537" t="str">
        <f>Criterios!A4</f>
        <v>Fecha Informe: 05 abr. 2022</v>
      </c>
    </row>
    <row r="44" spans="1:72">
      <c r="C44" s="649"/>
      <c r="D44" s="650"/>
    </row>
  </sheetData>
  <sheetProtection algorithmName="SHA-512" hashValue="l+w21qWU2ZgS6FEoXykjufUt2uk8JwViik/XjdysK6bPgkt+NKFGfID8wtDG5ssGmxaVegWjg4WHU0/dcsgpGQ==" saltValue="luDR9yfUDoNyVC1ISL3rIA==" spinCount="100000" sheet="1" objects="1" scenarios="1"/>
  <mergeCells count="71">
    <mergeCell ref="G5:G7"/>
    <mergeCell ref="I5:I7"/>
    <mergeCell ref="L5:L7"/>
    <mergeCell ref="A5:A7"/>
    <mergeCell ref="C5:C6"/>
    <mergeCell ref="D5:D7"/>
    <mergeCell ref="E5:E7"/>
    <mergeCell ref="F5:F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 ref="BT5:BT7"/>
    <mergeCell ref="AS5:AS7"/>
    <mergeCell ref="AB5:AB7"/>
    <mergeCell ref="AC5:AC7"/>
    <mergeCell ref="AF5:AF7"/>
    <mergeCell ref="AG5:AG7"/>
    <mergeCell ref="AP5:AP7"/>
    <mergeCell ref="AQ5:AQ7"/>
    <mergeCell ref="BS5:BS7"/>
    <mergeCell ref="BF5:BF7"/>
    <mergeCell ref="BG5:BG7"/>
    <mergeCell ref="BH5:BH7"/>
    <mergeCell ref="BJ5:BJ7"/>
    <mergeCell ref="BL5:BL7"/>
    <mergeCell ref="BM5:BM7"/>
    <mergeCell ref="BK5:BK7"/>
    <mergeCell ref="BQ5:BQ7"/>
    <mergeCell ref="BP5:BP7"/>
    <mergeCell ref="Y5:Y7"/>
    <mergeCell ref="BE5:BE7"/>
    <mergeCell ref="AT5:AT7"/>
    <mergeCell ref="AU5:AU7"/>
    <mergeCell ref="AV5:AV7"/>
    <mergeCell ref="AW5:AW7"/>
    <mergeCell ref="AX5:AX7"/>
    <mergeCell ref="AY5:AY7"/>
    <mergeCell ref="AZ5:AZ7"/>
    <mergeCell ref="BA5:BA7"/>
    <mergeCell ref="BB5:BB7"/>
    <mergeCell ref="BC5:BC7"/>
    <mergeCell ref="BD5:BD7"/>
    <mergeCell ref="AR5:AR7"/>
    <mergeCell ref="BR5:BR7"/>
    <mergeCell ref="AM5:AM7"/>
    <mergeCell ref="AN5:AN7"/>
    <mergeCell ref="AO5:AO7"/>
    <mergeCell ref="Z5:Z7"/>
    <mergeCell ref="AA5:AA7"/>
    <mergeCell ref="AE5:AE7"/>
    <mergeCell ref="AJ5:AJ7"/>
    <mergeCell ref="AD5:AD7"/>
    <mergeCell ref="AH5:AH7"/>
    <mergeCell ref="AI5:AI7"/>
    <mergeCell ref="AK5:AK7"/>
    <mergeCell ref="AL5:AL7"/>
    <mergeCell ref="BI5:BI7"/>
    <mergeCell ref="BN5:BN7"/>
    <mergeCell ref="BO5:BO7"/>
  </mergeCells>
  <conditionalFormatting sqref="F9:F13 F16:F22 F25 F28:F29">
    <cfRule type="expression" dxfId="1399" priority="699" stopIfTrue="1">
      <formula>IF(F9&lt;&gt;G9,TRUE,FALSE)</formula>
    </cfRule>
  </conditionalFormatting>
  <conditionalFormatting sqref="G10 G13 G25 G16:G22">
    <cfRule type="cellIs" dxfId="1398" priority="700" stopIfTrue="1" operator="notBetween">
      <formula>$G$37</formula>
      <formula>$G$38</formula>
    </cfRule>
  </conditionalFormatting>
  <conditionalFormatting sqref="L25 L28:L29 L9:L13 L16:L22">
    <cfRule type="cellIs" dxfId="1397" priority="450" stopIfTrue="1" operator="notBetween">
      <formula>$L$37</formula>
      <formula>$L$38</formula>
    </cfRule>
  </conditionalFormatting>
  <conditionalFormatting sqref="O25 O9:O13 O28:O29 O16:O22">
    <cfRule type="cellIs" dxfId="1396" priority="448" stopIfTrue="1" operator="notBetween">
      <formula>$O$37</formula>
      <formula>$O$38</formula>
    </cfRule>
  </conditionalFormatting>
  <conditionalFormatting sqref="R25 R9:R13 R28:R29 R16:R22">
    <cfRule type="cellIs" dxfId="1395" priority="445" stopIfTrue="1" operator="notBetween">
      <formula>$R$37</formula>
      <formula>$R$38</formula>
    </cfRule>
  </conditionalFormatting>
  <conditionalFormatting sqref="H25 H9:H13 H28:H29 H16:H22">
    <cfRule type="cellIs" dxfId="1394" priority="444" stopIfTrue="1" operator="notBetween">
      <formula>$H$37</formula>
      <formula>$H$38</formula>
    </cfRule>
  </conditionalFormatting>
  <conditionalFormatting sqref="T25 T28:T29 T16:T22 T9:T13">
    <cfRule type="cellIs" dxfId="1393" priority="443" stopIfTrue="1" operator="notBetween">
      <formula>$T$37</formula>
      <formula>$T$38</formula>
    </cfRule>
  </conditionalFormatting>
  <conditionalFormatting sqref="U9:U13 U16:U22 U25 U28:U29">
    <cfRule type="cellIs" dxfId="1392" priority="442" stopIfTrue="1" operator="notBetween">
      <formula>$U$37</formula>
      <formula>$U$38</formula>
    </cfRule>
  </conditionalFormatting>
  <conditionalFormatting sqref="V9:V13 V16:V22 V25 V28:V29">
    <cfRule type="cellIs" dxfId="1391" priority="441" stopIfTrue="1" operator="notBetween">
      <formula>$V$37</formula>
      <formula>$V$38</formula>
    </cfRule>
  </conditionalFormatting>
  <conditionalFormatting sqref="Y28:Y29 Y16:Y22 Y9:Y13">
    <cfRule type="cellIs" dxfId="1390" priority="439" stopIfTrue="1" operator="notBetween">
      <formula>$Y$37</formula>
      <formula>$Y$38</formula>
    </cfRule>
  </conditionalFormatting>
  <conditionalFormatting sqref="Z25 Z9:Z13 Z28:Z29 Z16:Z22">
    <cfRule type="cellIs" dxfId="1389" priority="437" stopIfTrue="1" operator="notBetween">
      <formula>$Z$37</formula>
      <formula>$Z$38</formula>
    </cfRule>
  </conditionalFormatting>
  <conditionalFormatting sqref="AA25 AA28:AA29 AA9:AA13 AA16:AA22">
    <cfRule type="cellIs" dxfId="1388" priority="436" stopIfTrue="1" operator="notBetween">
      <formula>$AA$37</formula>
      <formula>$AA$38</formula>
    </cfRule>
  </conditionalFormatting>
  <conditionalFormatting sqref="AK25 AK9:AK13 AK28:AK29 AK16:AK22">
    <cfRule type="cellIs" dxfId="1387" priority="431" stopIfTrue="1" operator="notBetween">
      <formula>$AK$37</formula>
      <formula>$AK$38</formula>
    </cfRule>
  </conditionalFormatting>
  <conditionalFormatting sqref="AL25 AL9:AL13 AL28:AL29 AL16:AL22">
    <cfRule type="cellIs" dxfId="1386" priority="430" stopIfTrue="1" operator="notBetween">
      <formula>$AL$37</formula>
      <formula>$AL$38</formula>
    </cfRule>
  </conditionalFormatting>
  <conditionalFormatting sqref="AN25">
    <cfRule type="cellIs" priority="428" stopIfTrue="1" operator="notBetween">
      <formula>$AN$37</formula>
      <formula>$AN$38</formula>
    </cfRule>
  </conditionalFormatting>
  <conditionalFormatting sqref="AO25">
    <cfRule type="cellIs" dxfId="1385" priority="427" stopIfTrue="1" operator="notBetween">
      <formula>$AO$37</formula>
      <formula>$AO$38</formula>
    </cfRule>
  </conditionalFormatting>
  <conditionalFormatting sqref="AW25 AW9:AW13 AW28:AW29 AW16:AW22">
    <cfRule type="cellIs" dxfId="1384" priority="420" stopIfTrue="1" operator="notBetween">
      <formula>$AW$37</formula>
      <formula>$AW$38</formula>
    </cfRule>
  </conditionalFormatting>
  <conditionalFormatting sqref="AX25 AX9:AX13 AX28:AX29 AX16:AX22">
    <cfRule type="cellIs" dxfId="1383" priority="419" stopIfTrue="1" operator="notBetween">
      <formula>$AX$37</formula>
      <formula>$AX$38</formula>
    </cfRule>
  </conditionalFormatting>
  <conditionalFormatting sqref="AY25 AY9:AY13 AY28:AY29 AY16:AY22">
    <cfRule type="cellIs" dxfId="1382" priority="418" stopIfTrue="1" operator="notBetween">
      <formula>$AY$37</formula>
      <formula>$AY$38</formula>
    </cfRule>
  </conditionalFormatting>
  <conditionalFormatting sqref="AZ25 AZ9:AZ13 AZ28:AZ29 AZ16:AZ22">
    <cfRule type="cellIs" dxfId="1381" priority="417" stopIfTrue="1" operator="notBetween">
      <formula>$AZ$37</formula>
      <formula>$AZ$38</formula>
    </cfRule>
  </conditionalFormatting>
  <conditionalFormatting sqref="BA25 BA9:BA13 BA28:BA29 BA16:BA22">
    <cfRule type="cellIs" dxfId="1380" priority="416" stopIfTrue="1" operator="notBetween">
      <formula>$BA$37</formula>
      <formula>$BA$38</formula>
    </cfRule>
  </conditionalFormatting>
  <conditionalFormatting sqref="BB25 BB9:BB13 BB28:BB29 BB16:BB22">
    <cfRule type="cellIs" dxfId="1379" priority="415" stopIfTrue="1" operator="notBetween">
      <formula>$BB$37</formula>
      <formula>$BB$38</formula>
    </cfRule>
  </conditionalFormatting>
  <conditionalFormatting sqref="BE25 BE9:BE13 BE28:BE29 BE16:BE22">
    <cfRule type="cellIs" dxfId="1378" priority="412" stopIfTrue="1" operator="notBetween">
      <formula>$BE$37</formula>
      <formula>$BE$38</formula>
    </cfRule>
  </conditionalFormatting>
  <conditionalFormatting sqref="BF25 BF9:BF13 BF28:BF29 BF16:BF22">
    <cfRule type="cellIs" dxfId="1377" priority="411" stopIfTrue="1" operator="notBetween">
      <formula>$BF$37</formula>
      <formula>$BF$38</formula>
    </cfRule>
  </conditionalFormatting>
  <conditionalFormatting sqref="BI25 BI9:BI13 BI28:BI29 BI16:BI22">
    <cfRule type="cellIs" dxfId="1376" priority="408" stopIfTrue="1" operator="notBetween">
      <formula>$BI$37</formula>
      <formula>$BI$38</formula>
    </cfRule>
  </conditionalFormatting>
  <conditionalFormatting sqref="BJ9:BJ13 BJ25 BJ28:BJ29 BJ16:BJ22">
    <cfRule type="cellIs" dxfId="1375" priority="407" stopIfTrue="1" operator="notBetween">
      <formula>$BJ$37</formula>
      <formula>$BJ$38</formula>
    </cfRule>
  </conditionalFormatting>
  <conditionalFormatting sqref="BK25 BK9:BK13 BK28:BK29 BK16:BK22">
    <cfRule type="cellIs" dxfId="1374" priority="406" stopIfTrue="1" operator="notBetween">
      <formula>$BK$37</formula>
      <formula>$BK$38</formula>
    </cfRule>
  </conditionalFormatting>
  <conditionalFormatting sqref="BM9:BM13 BM25 BM28:BM29 BM16:BM22">
    <cfRule type="cellIs" dxfId="1373" priority="404" stopIfTrue="1" operator="notBetween">
      <formula>$BM$37</formula>
      <formula>$BM$38</formula>
    </cfRule>
  </conditionalFormatting>
  <conditionalFormatting sqref="BN25 BN9:BN13 BN28:BN29 BN16:BN22">
    <cfRule type="cellIs" dxfId="1372" priority="403" stopIfTrue="1" operator="notBetween">
      <formula>$BN$37</formula>
      <formula>$BN$38</formula>
    </cfRule>
  </conditionalFormatting>
  <conditionalFormatting sqref="BO25 BO9:BO13 BO28:BO29 BO16:BO22">
    <cfRule type="cellIs" dxfId="1371" priority="402" stopIfTrue="1" operator="notBetween">
      <formula>$BO$37</formula>
      <formula>$BO$38</formula>
    </cfRule>
  </conditionalFormatting>
  <conditionalFormatting sqref="BP25 BP9:BP13 BP28:BP29 BP16:BP22">
    <cfRule type="cellIs" dxfId="1370" priority="401" stopIfTrue="1" operator="notBetween">
      <formula>$BP$37</formula>
      <formula>$BP$38</formula>
    </cfRule>
  </conditionalFormatting>
  <conditionalFormatting sqref="BQ25 BQ9:BQ13 BQ28:BQ29 BQ16:BQ22">
    <cfRule type="cellIs" dxfId="1369" priority="400" stopIfTrue="1" operator="notBetween">
      <formula>$BQ$37</formula>
      <formula>$BQ$38</formula>
    </cfRule>
  </conditionalFormatting>
  <conditionalFormatting sqref="Q9:Q13 Q25 Q28:Q29 Q16:Q22">
    <cfRule type="cellIs" dxfId="1368" priority="399" stopIfTrue="1" operator="notBetween">
      <formula>$Q$37</formula>
      <formula>$Q$38</formula>
    </cfRule>
  </conditionalFormatting>
  <conditionalFormatting sqref="J16:K22 J9:K13 J25:K25 J28:K29">
    <cfRule type="cellIs" dxfId="1367" priority="349" stopIfTrue="1" operator="notBetween">
      <formula>$K$37</formula>
      <formula>$K$38</formula>
    </cfRule>
  </conditionalFormatting>
  <conditionalFormatting sqref="N25 N28:N29 N9:N13 N16:N22">
    <cfRule type="cellIs" dxfId="1366" priority="347" stopIfTrue="1" operator="notBetween">
      <formula>$N$37</formula>
      <formula>$N$38</formula>
    </cfRule>
  </conditionalFormatting>
  <conditionalFormatting sqref="Y25">
    <cfRule type="cellIs" dxfId="1365" priority="346" stopIfTrue="1" operator="notBetween">
      <formula>$Y$37</formula>
      <formula>$Y$38</formula>
    </cfRule>
  </conditionalFormatting>
  <conditionalFormatting sqref="AD16:AE22 AD25:AE25 AD28:AE29 AD9:AE13">
    <cfRule type="cellIs" dxfId="1364" priority="310" stopIfTrue="1" operator="notBetween">
      <formula>$AD$37</formula>
      <formula>$AD$38</formula>
    </cfRule>
  </conditionalFormatting>
  <conditionalFormatting sqref="AH25 AH28:AH29 AH9:AH13 AH16:AH22">
    <cfRule type="cellIs" dxfId="1363" priority="308" stopIfTrue="1" operator="notBetween">
      <formula>$AH$37</formula>
      <formula>$AH$38</formula>
    </cfRule>
  </conditionalFormatting>
  <conditionalFormatting sqref="AI16:AJ22 AI25:AJ25 AI28:AJ29 AI9:AJ13">
    <cfRule type="cellIs" dxfId="1362" priority="307" stopIfTrue="1" operator="notBetween">
      <formula>$AI$37</formula>
      <formula>$AI$38</formula>
    </cfRule>
  </conditionalFormatting>
  <conditionalFormatting sqref="AR25 AR9:AR13 AR28:AR29 AR16:AR22">
    <cfRule type="cellIs" dxfId="1361" priority="306" stopIfTrue="1" operator="notBetween">
      <formula>$AR$37</formula>
      <formula>$AR$38</formula>
    </cfRule>
  </conditionalFormatting>
  <conditionalFormatting sqref="AC9:AC13 AC25 AC28:AC29 AC16:AC22">
    <cfRule type="cellIs" dxfId="1360" priority="300" stopIfTrue="1" operator="notBetween">
      <formula>$AC$37</formula>
      <formula>$AC$38</formula>
    </cfRule>
  </conditionalFormatting>
  <conditionalFormatting sqref="E9:E13 E25 E28:E29 E16:E22">
    <cfRule type="cellIs" dxfId="1359" priority="295" stopIfTrue="1" operator="notBetween">
      <formula>$E$37</formula>
      <formula>$E$38</formula>
    </cfRule>
  </conditionalFormatting>
  <conditionalFormatting sqref="F9:F13 F16:F22 F25 F28:F29">
    <cfRule type="cellIs" dxfId="1358" priority="294" stopIfTrue="1" operator="notBetween">
      <formula>$F$37</formula>
      <formula>$F$38</formula>
    </cfRule>
  </conditionalFormatting>
  <conditionalFormatting sqref="I9:I13 I25 I28:I29 I16:I22">
    <cfRule type="cellIs" dxfId="1357" priority="714" stopIfTrue="1" operator="notBetween">
      <formula>$I$37</formula>
      <formula>$I$38</formula>
    </cfRule>
  </conditionalFormatting>
  <conditionalFormatting sqref="AB9:AB13 AB25 AB28:AB29 AB16:AB22">
    <cfRule type="cellIs" dxfId="1356" priority="292" stopIfTrue="1" operator="notBetween">
      <formula>$AB$37</formula>
      <formula>$AB$38</formula>
    </cfRule>
  </conditionalFormatting>
  <conditionalFormatting sqref="AF9:AF13 AF25 AF28:AF29 AF16:AF22">
    <cfRule type="cellIs" dxfId="1355" priority="291" stopIfTrue="1" operator="notBetween">
      <formula>$AF$37</formula>
      <formula>$AF$38</formula>
    </cfRule>
  </conditionalFormatting>
  <conditionalFormatting sqref="AM9:AM13 AM25 AM28:AM29 AM16:AM22">
    <cfRule type="cellIs" dxfId="1354" priority="290" stopIfTrue="1" operator="notBetween">
      <formula>$AM$37</formula>
      <formula>$AM$38</formula>
    </cfRule>
  </conditionalFormatting>
  <conditionalFormatting sqref="AS9:AS13 AS25 AS28:AS29 AS16:AS22">
    <cfRule type="cellIs" dxfId="1353" priority="289" stopIfTrue="1" operator="notBetween">
      <formula>$AS$37</formula>
      <formula>$AS$38</formula>
    </cfRule>
  </conditionalFormatting>
  <conditionalFormatting sqref="AT25 AT9:AT13 AT28:AT29 AT16:AT22">
    <cfRule type="cellIs" dxfId="1352" priority="288" stopIfTrue="1" operator="notBetween">
      <formula>$AT$37</formula>
      <formula>$AT$38</formula>
    </cfRule>
  </conditionalFormatting>
  <conditionalFormatting sqref="AU25 AU9:AU13 AU28:AU29 AU16:AU22">
    <cfRule type="cellIs" dxfId="1351" priority="287" stopIfTrue="1" operator="notBetween">
      <formula>$AU$37</formula>
      <formula>$AU$38</formula>
    </cfRule>
  </conditionalFormatting>
  <conditionalFormatting sqref="AV25 AV9:AV13 AV28:AV29 AV16:AV22">
    <cfRule type="cellIs" dxfId="1350" priority="286" stopIfTrue="1" operator="notBetween">
      <formula>$AV$37</formula>
      <formula>$AV$38</formula>
    </cfRule>
  </conditionalFormatting>
  <conditionalFormatting sqref="BD25 BD9:BD13 BD28:BD29 BD16:BD22">
    <cfRule type="cellIs" dxfId="1349" priority="285" stopIfTrue="1" operator="notBetween">
      <formula>$BD$37</formula>
      <formula>$BD$38</formula>
    </cfRule>
  </conditionalFormatting>
  <conditionalFormatting sqref="BG9:BG13 BG16:BG22 BG25 BG28:BG29">
    <cfRule type="cellIs" dxfId="1348" priority="284" stopIfTrue="1" operator="notBetween">
      <formula>$BG$37</formula>
      <formula>$BG$38</formula>
    </cfRule>
  </conditionalFormatting>
  <conditionalFormatting sqref="BH9:BH13 BH16:BH22 BH25 BH28:BH29">
    <cfRule type="cellIs" dxfId="1347" priority="283" stopIfTrue="1" operator="notBetween">
      <formula>$BH$37</formula>
      <formula>$BH$38</formula>
    </cfRule>
  </conditionalFormatting>
  <conditionalFormatting sqref="BL9:BL13 BL25 BL28:BL29 BL16:BL22">
    <cfRule type="cellIs" dxfId="1346" priority="282" stopIfTrue="1" operator="notBetween">
      <formula>$BL$37</formula>
      <formula>$BL$38</formula>
    </cfRule>
  </conditionalFormatting>
  <conditionalFormatting sqref="BC9:BC13 BC28:BC29 BC25 BC16:BC22">
    <cfRule type="cellIs" dxfId="1345" priority="281" stopIfTrue="1" operator="notBetween">
      <formula>$BC$37</formula>
      <formula>$BC$38</formula>
    </cfRule>
  </conditionalFormatting>
  <conditionalFormatting sqref="F28">
    <cfRule type="expression" dxfId="1344" priority="275" stopIfTrue="1">
      <formula>IF(F28&lt;&gt;G28,TRUE,FALSE)</formula>
    </cfRule>
  </conditionalFormatting>
  <conditionalFormatting sqref="F29">
    <cfRule type="expression" dxfId="1343" priority="274" stopIfTrue="1">
      <formula>IF(F29&lt;&gt;G29,TRUE,FALSE)</formula>
    </cfRule>
  </conditionalFormatting>
  <conditionalFormatting sqref="I11">
    <cfRule type="cellIs" dxfId="1342" priority="2447" stopIfTrue="1" operator="greaterThan">
      <formula>#REF!</formula>
    </cfRule>
    <cfRule type="cellIs" dxfId="1341" priority="2448" stopIfTrue="1" operator="lessThan">
      <formula>#REF!</formula>
    </cfRule>
  </conditionalFormatting>
  <conditionalFormatting sqref="I12">
    <cfRule type="cellIs" dxfId="1340" priority="2449" stopIfTrue="1" operator="greaterThan">
      <formula>#REF!</formula>
    </cfRule>
    <cfRule type="cellIs" dxfId="1339" priority="2450" stopIfTrue="1" operator="lessThan">
      <formula>#REF!</formula>
    </cfRule>
  </conditionalFormatting>
  <conditionalFormatting sqref="I21">
    <cfRule type="cellIs" dxfId="1338" priority="2451" stopIfTrue="1" operator="greaterThan">
      <formula>#REF!</formula>
    </cfRule>
    <cfRule type="cellIs" dxfId="1337" priority="2452" stopIfTrue="1" operator="lessThan">
      <formula>#REF!</formula>
    </cfRule>
  </conditionalFormatting>
  <conditionalFormatting sqref="H21">
    <cfRule type="cellIs" dxfId="1336" priority="2453" stopIfTrue="1" operator="greaterThan">
      <formula>#REF!</formula>
    </cfRule>
    <cfRule type="cellIs" dxfId="1335" priority="2454" stopIfTrue="1" operator="lessThan">
      <formula>#REF!</formula>
    </cfRule>
  </conditionalFormatting>
  <conditionalFormatting sqref="W9">
    <cfRule type="cellIs" dxfId="1334" priority="206" stopIfTrue="1" operator="greaterThan">
      <formula>$BT$9*$E$9</formula>
    </cfRule>
    <cfRule type="cellIs" dxfId="1333" priority="209" stopIfTrue="1" operator="lessThan">
      <formula>$BT$9*$E$9</formula>
    </cfRule>
  </conditionalFormatting>
  <conditionalFormatting sqref="W10">
    <cfRule type="cellIs" dxfId="1332" priority="87" stopIfTrue="1" operator="greaterThan">
      <formula>$BT$10*$E$10</formula>
    </cfRule>
    <cfRule type="cellIs" dxfId="1331" priority="88" stopIfTrue="1" operator="lessThan">
      <formula>$BT$10*$E$10</formula>
    </cfRule>
  </conditionalFormatting>
  <conditionalFormatting sqref="W11">
    <cfRule type="cellIs" dxfId="1330" priority="83" stopIfTrue="1" operator="greaterThan">
      <formula>$BT$11*$E$11</formula>
    </cfRule>
    <cfRule type="cellIs" dxfId="1329" priority="84" stopIfTrue="1" operator="lessThan">
      <formula>$BT$11*$E$11</formula>
    </cfRule>
  </conditionalFormatting>
  <conditionalFormatting sqref="W12">
    <cfRule type="cellIs" dxfId="1328" priority="81" stopIfTrue="1" operator="greaterThan">
      <formula>$BT$12*$E$12</formula>
    </cfRule>
    <cfRule type="cellIs" dxfId="1327" priority="82" stopIfTrue="1" operator="lessThan">
      <formula>$BT$12*$E$12</formula>
    </cfRule>
  </conditionalFormatting>
  <conditionalFormatting sqref="W13">
    <cfRule type="cellIs" dxfId="1326" priority="79" stopIfTrue="1" operator="greaterThan">
      <formula>$BT$13*$E$13</formula>
    </cfRule>
    <cfRule type="cellIs" dxfId="1325" priority="80" stopIfTrue="1" operator="lessThan">
      <formula>$BT$13*$E$13</formula>
    </cfRule>
  </conditionalFormatting>
  <conditionalFormatting sqref="W16">
    <cfRule type="cellIs" dxfId="1324" priority="67" stopIfTrue="1" operator="greaterThan">
      <formula>$BT$16*$E$16</formula>
    </cfRule>
    <cfRule type="cellIs" dxfId="1323" priority="68" stopIfTrue="1" operator="lessThan">
      <formula>$BT$16*$E$16</formula>
    </cfRule>
  </conditionalFormatting>
  <conditionalFormatting sqref="W17">
    <cfRule type="cellIs" dxfId="1322" priority="65" stopIfTrue="1" operator="greaterThan">
      <formula>$BT$17*$E$17</formula>
    </cfRule>
    <cfRule type="cellIs" dxfId="1321" priority="66" stopIfTrue="1" operator="lessThan">
      <formula>$BT$17*$E$17</formula>
    </cfRule>
  </conditionalFormatting>
  <conditionalFormatting sqref="W18">
    <cfRule type="cellIs" dxfId="1320" priority="63" stopIfTrue="1" operator="greaterThan">
      <formula>$BT$18*$E$18</formula>
    </cfRule>
    <cfRule type="cellIs" dxfId="1319" priority="64" stopIfTrue="1" operator="lessThan">
      <formula>$BT$18*$E$18</formula>
    </cfRule>
  </conditionalFormatting>
  <conditionalFormatting sqref="W19">
    <cfRule type="cellIs" dxfId="1318" priority="61" stopIfTrue="1" operator="greaterThan">
      <formula>$BT$19*$E$19</formula>
    </cfRule>
    <cfRule type="cellIs" dxfId="1317" priority="62" stopIfTrue="1" operator="lessThan">
      <formula>$BT$19*$E$19</formula>
    </cfRule>
  </conditionalFormatting>
  <conditionalFormatting sqref="W20">
    <cfRule type="cellIs" dxfId="1316" priority="59" stopIfTrue="1" operator="greaterThan">
      <formula>$BT$20*$E$20</formula>
    </cfRule>
    <cfRule type="cellIs" dxfId="1315" priority="60" stopIfTrue="1" operator="lessThan">
      <formula>$BT$20*$E$20</formula>
    </cfRule>
  </conditionalFormatting>
  <conditionalFormatting sqref="W21">
    <cfRule type="cellIs" dxfId="1314" priority="57" stopIfTrue="1" operator="greaterThan">
      <formula>$BT$21*$E$21</formula>
    </cfRule>
    <cfRule type="cellIs" dxfId="1313" priority="58" stopIfTrue="1" operator="lessThan">
      <formula>$BT$21*$E$21</formula>
    </cfRule>
  </conditionalFormatting>
  <conditionalFormatting sqref="W22">
    <cfRule type="cellIs" dxfId="1312" priority="55" stopIfTrue="1" operator="greaterThan">
      <formula>$BT$22*$E$22</formula>
    </cfRule>
    <cfRule type="cellIs" dxfId="1311" priority="56" stopIfTrue="1" operator="lessThan">
      <formula>$BT$22*$E$22</formula>
    </cfRule>
  </conditionalFormatting>
  <conditionalFormatting sqref="W25">
    <cfRule type="cellIs" dxfId="1310" priority="33" stopIfTrue="1" operator="greaterThan">
      <formula>$BT$25*$E$25</formula>
    </cfRule>
    <cfRule type="cellIs" dxfId="1309" priority="34" stopIfTrue="1" operator="lessThan">
      <formula>$BT$25*$E$25</formula>
    </cfRule>
  </conditionalFormatting>
  <conditionalFormatting sqref="W28">
    <cfRule type="cellIs" dxfId="1308" priority="23" stopIfTrue="1" operator="greaterThan">
      <formula>$BT$28*$E$28</formula>
    </cfRule>
    <cfRule type="cellIs" dxfId="1307" priority="24" stopIfTrue="1" operator="lessThan">
      <formula>$BT$28*$E$28</formula>
    </cfRule>
  </conditionalFormatting>
  <conditionalFormatting sqref="W29">
    <cfRule type="cellIs" dxfId="1306" priority="21" stopIfTrue="1" operator="greaterThan">
      <formula>$BT$29*$E$29</formula>
    </cfRule>
    <cfRule type="cellIs" dxfId="1305" priority="22" stopIfTrue="1" operator="lessThan">
      <formula>$BT$29*$E$29</formula>
    </cfRule>
  </conditionalFormatting>
  <conditionalFormatting sqref="F28">
    <cfRule type="expression" dxfId="1304" priority="2" stopIfTrue="1">
      <formula>IF(F28&lt;&gt;G28,TRUE,FALSE)</formula>
    </cfRule>
  </conditionalFormatting>
  <conditionalFormatting sqref="BR9:BR13 BR16:BR22 BR25 BR28:BR29">
    <cfRule type="expression" dxfId="1303" priority="4308" stopIfTrue="1">
      <formula>NOT(AND($BR9-ultimoDiaTrim&gt;=$BR$38,$BR9-ultimoDiaTrim&lt;=$BR$37))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T45"/>
  <sheetViews>
    <sheetView topLeftCell="C1" zoomScale="85" zoomScaleNormal="85" workbookViewId="0">
      <selection activeCell="C7" sqref="C7"/>
    </sheetView>
  </sheetViews>
  <sheetFormatPr baseColWidth="10" defaultColWidth="11.42578125" defaultRowHeight="12.75"/>
  <cols>
    <col min="1" max="1" width="8.85546875" style="570" hidden="1" customWidth="1"/>
    <col min="2" max="2" width="9.42578125" style="570" hidden="1" customWidth="1"/>
    <col min="3" max="3" width="37.28515625" style="658" bestFit="1" customWidth="1"/>
    <col min="4" max="4" width="7.42578125" style="537" customWidth="1"/>
    <col min="5" max="5" width="15.5703125" style="537" customWidth="1"/>
    <col min="6" max="6" width="15.85546875" style="537" customWidth="1"/>
    <col min="7" max="7" width="13.5703125" style="582" customWidth="1"/>
    <col min="8" max="9" width="14" style="537" customWidth="1"/>
    <col min="10" max="10" width="14.42578125" customWidth="1"/>
    <col min="11" max="13" width="14" style="763" customWidth="1"/>
    <col min="14" max="15" width="14" style="537" customWidth="1"/>
    <col min="16" max="17" width="14" style="578" customWidth="1"/>
    <col min="18" max="18" width="14" style="708" customWidth="1"/>
    <col min="19" max="19" width="14.28515625" style="578" customWidth="1"/>
    <col min="20" max="20" width="13.7109375" customWidth="1"/>
    <col min="21" max="21" width="13" style="537" customWidth="1"/>
    <col min="22" max="22" width="14.28515625" style="763" customWidth="1"/>
    <col min="23" max="23" width="12.85546875" style="537" customWidth="1"/>
    <col min="24" max="24" width="14.28515625" style="578" customWidth="1"/>
    <col min="25" max="26" width="14.28515625" style="708" customWidth="1"/>
    <col min="27" max="27" width="13.7109375" style="537" customWidth="1"/>
    <col min="28" max="29" width="16.28515625" style="537" customWidth="1"/>
    <col min="30" max="30" width="15.140625" style="537" customWidth="1"/>
    <col min="31" max="31" width="16.28515625" style="537" customWidth="1"/>
    <col min="32" max="32" width="12.5703125" style="537" customWidth="1"/>
    <col min="33" max="35" width="13" style="537" customWidth="1"/>
    <col min="36" max="37" width="12.85546875" style="537" customWidth="1"/>
    <col min="38" max="39" width="11.42578125" style="537"/>
    <col min="40" max="40" width="12.42578125" style="537" customWidth="1"/>
    <col min="41" max="41" width="12.28515625" style="537" customWidth="1"/>
    <col min="42" max="42" width="16.140625" style="578" customWidth="1"/>
    <col min="43" max="47" width="16.140625" style="708" customWidth="1"/>
    <col min="48" max="48" width="14.85546875" style="537" customWidth="1"/>
    <col min="49" max="49" width="11.42578125" style="579"/>
    <col min="50" max="50" width="11.5703125" customWidth="1"/>
    <col min="51" max="51" width="11.42578125" style="537" customWidth="1"/>
    <col min="52" max="63" width="11.42578125" style="537"/>
    <col min="64" max="68" width="11.42578125" style="537" customWidth="1"/>
    <col min="69" max="71" width="11.42578125" style="537"/>
    <col min="72" max="72" width="14.85546875" style="579" hidden="1" customWidth="1"/>
    <col min="73" max="16384" width="11.42578125" style="537"/>
  </cols>
  <sheetData>
    <row r="1" spans="1:72">
      <c r="C1" s="651" t="str">
        <f>Criterios!A9 &amp;"  "&amp;Criterios!B9</f>
        <v>Tribunales de Justicia  ANDALUCIA</v>
      </c>
    </row>
    <row r="2" spans="1:72" ht="16.5" customHeight="1">
      <c r="C2" s="651" t="str">
        <f>Criterios!A10 &amp;"  "&amp;Criterios!B10 &amp; "  " &amp; IF(NOT(ISBLANK(Criterios!A11)),Criterios!A11 &amp;"  "&amp;Criterios!B11,"")</f>
        <v>Provincias  MALAGA  Resumenes por Partidos Judiciales  MALAGA</v>
      </c>
      <c r="D2" s="571"/>
      <c r="E2" s="571"/>
      <c r="F2" s="574"/>
      <c r="G2" s="575"/>
      <c r="H2" s="574"/>
      <c r="I2" s="574"/>
      <c r="J2" s="368"/>
      <c r="K2" s="759"/>
      <c r="L2" s="759"/>
      <c r="M2" s="759"/>
      <c r="N2" s="574"/>
      <c r="O2" s="574"/>
      <c r="P2" s="576"/>
      <c r="Q2" s="576"/>
      <c r="R2" s="722"/>
      <c r="S2" s="576"/>
      <c r="V2" s="759"/>
    </row>
    <row r="3" spans="1:72" ht="25.5" customHeight="1">
      <c r="C3" s="1484"/>
      <c r="D3" s="580"/>
      <c r="E3" s="580"/>
      <c r="G3" s="583"/>
      <c r="H3" s="577"/>
      <c r="I3" s="577"/>
      <c r="K3" s="759"/>
      <c r="L3" s="759"/>
      <c r="M3" s="759"/>
      <c r="N3" s="577"/>
      <c r="O3" s="577"/>
      <c r="P3" s="576"/>
      <c r="Q3" s="576"/>
      <c r="R3" s="722"/>
    </row>
    <row r="4" spans="1:72" ht="18.75" customHeight="1" thickBot="1">
      <c r="C4" s="1485"/>
      <c r="D4" s="584"/>
      <c r="E4" s="584"/>
      <c r="F4" s="587"/>
      <c r="G4" s="586"/>
      <c r="H4" s="587"/>
      <c r="I4" s="587"/>
      <c r="J4" s="367"/>
      <c r="K4" s="759"/>
      <c r="L4" s="759"/>
      <c r="M4" s="759"/>
      <c r="N4" s="587"/>
      <c r="O4" s="587"/>
      <c r="P4" s="576"/>
      <c r="Q4" s="576"/>
      <c r="R4" s="722"/>
      <c r="S4" s="576"/>
      <c r="V4" s="759"/>
      <c r="BT4" s="586"/>
    </row>
    <row r="5" spans="1:72" ht="15.75" customHeight="1">
      <c r="A5" s="1642" t="s">
        <v>469</v>
      </c>
      <c r="B5" s="297"/>
      <c r="C5" s="1888" t="str">
        <f>"Año:  " &amp;Criterios!B$5 &amp; "          Trimestre   " &amp;Criterios!D$5 &amp; " al " &amp;Criterios!D$6</f>
        <v>Año:  2021          Trimestre   1 al 4</v>
      </c>
      <c r="D5" s="1890" t="s">
        <v>495</v>
      </c>
      <c r="E5" s="1847" t="s">
        <v>762</v>
      </c>
      <c r="F5" s="1885" t="s">
        <v>531</v>
      </c>
      <c r="G5" s="1847" t="s">
        <v>176</v>
      </c>
      <c r="H5" s="1847" t="s">
        <v>795</v>
      </c>
      <c r="I5" s="1847" t="s">
        <v>763</v>
      </c>
      <c r="J5" s="1847" t="s">
        <v>900</v>
      </c>
      <c r="K5" s="1847" t="s">
        <v>764</v>
      </c>
      <c r="L5" s="1847" t="s">
        <v>793</v>
      </c>
      <c r="M5" s="1847" t="s">
        <v>902</v>
      </c>
      <c r="N5" s="1847" t="s">
        <v>790</v>
      </c>
      <c r="O5" s="1847" t="s">
        <v>824</v>
      </c>
      <c r="P5" s="1880" t="s">
        <v>892</v>
      </c>
      <c r="Q5" s="1880" t="s">
        <v>895</v>
      </c>
      <c r="R5" s="1847" t="s">
        <v>799</v>
      </c>
      <c r="S5" s="1847" t="s">
        <v>765</v>
      </c>
      <c r="T5" s="1847" t="s">
        <v>1055</v>
      </c>
      <c r="U5" s="1847" t="s">
        <v>1056</v>
      </c>
      <c r="V5" s="1859" t="s">
        <v>883</v>
      </c>
      <c r="W5" s="1850" t="s">
        <v>779</v>
      </c>
      <c r="X5" s="1853" t="s">
        <v>780</v>
      </c>
      <c r="Y5" s="1856" t="s">
        <v>800</v>
      </c>
      <c r="Z5" s="1856" t="s">
        <v>825</v>
      </c>
      <c r="AA5" s="1847" t="s">
        <v>769</v>
      </c>
      <c r="AB5" s="1847" t="s">
        <v>781</v>
      </c>
      <c r="AC5" s="1847" t="s">
        <v>782</v>
      </c>
      <c r="AD5" s="1847" t="s">
        <v>722</v>
      </c>
      <c r="AE5" s="1847" t="s">
        <v>903</v>
      </c>
      <c r="AF5" s="1847" t="s">
        <v>246</v>
      </c>
      <c r="AG5" s="1847" t="s">
        <v>783</v>
      </c>
      <c r="AH5" s="1847" t="s">
        <v>770</v>
      </c>
      <c r="AI5" s="1847" t="s">
        <v>771</v>
      </c>
      <c r="AJ5" s="1847" t="s">
        <v>784</v>
      </c>
      <c r="AK5" s="1847" t="s">
        <v>785</v>
      </c>
      <c r="AL5" s="1847" t="s">
        <v>786</v>
      </c>
      <c r="AM5" s="1871" t="s">
        <v>787</v>
      </c>
      <c r="AN5" s="1847" t="s">
        <v>327</v>
      </c>
      <c r="AO5" s="1847" t="s">
        <v>773</v>
      </c>
      <c r="AP5" s="1847" t="s">
        <v>774</v>
      </c>
      <c r="AQ5" s="1847" t="s">
        <v>801</v>
      </c>
      <c r="AR5" s="1847" t="s">
        <v>802</v>
      </c>
      <c r="AS5" s="1847" t="s">
        <v>804</v>
      </c>
      <c r="AT5" s="1847" t="s">
        <v>797</v>
      </c>
      <c r="AU5" s="1847" t="s">
        <v>440</v>
      </c>
      <c r="AV5" s="1847" t="s">
        <v>788</v>
      </c>
      <c r="AW5" s="1847" t="s">
        <v>727</v>
      </c>
      <c r="BT5" s="1847" t="s">
        <v>1057</v>
      </c>
    </row>
    <row r="6" spans="1:72" ht="21.75" customHeight="1">
      <c r="A6" s="1643"/>
      <c r="B6" s="298"/>
      <c r="C6" s="1889"/>
      <c r="D6" s="1891"/>
      <c r="E6" s="1848"/>
      <c r="F6" s="1886"/>
      <c r="G6" s="1848"/>
      <c r="H6" s="1848"/>
      <c r="I6" s="1848"/>
      <c r="J6" s="1848"/>
      <c r="K6" s="1848"/>
      <c r="L6" s="1848"/>
      <c r="M6" s="1848"/>
      <c r="N6" s="1848"/>
      <c r="O6" s="1848"/>
      <c r="P6" s="1881"/>
      <c r="Q6" s="1881"/>
      <c r="R6" s="1848"/>
      <c r="S6" s="1848"/>
      <c r="T6" s="1848"/>
      <c r="U6" s="1848"/>
      <c r="V6" s="1860"/>
      <c r="W6" s="1851"/>
      <c r="X6" s="1854"/>
      <c r="Y6" s="1857"/>
      <c r="Z6" s="1857"/>
      <c r="AA6" s="1848"/>
      <c r="AB6" s="1848"/>
      <c r="AC6" s="1848"/>
      <c r="AD6" s="1848"/>
      <c r="AE6" s="1848"/>
      <c r="AF6" s="1848"/>
      <c r="AG6" s="1848"/>
      <c r="AH6" s="1848"/>
      <c r="AI6" s="1848"/>
      <c r="AJ6" s="1848"/>
      <c r="AK6" s="1848"/>
      <c r="AL6" s="1848"/>
      <c r="AM6" s="1872"/>
      <c r="AN6" s="1848"/>
      <c r="AO6" s="1848"/>
      <c r="AP6" s="1848"/>
      <c r="AQ6" s="1848"/>
      <c r="AR6" s="1848"/>
      <c r="AS6" s="1848"/>
      <c r="AT6" s="1848"/>
      <c r="AU6" s="1848"/>
      <c r="AV6" s="1848"/>
      <c r="AW6" s="1848"/>
      <c r="BT6" s="1848"/>
    </row>
    <row r="7" spans="1:72" ht="38.25" customHeight="1" thickBot="1">
      <c r="A7" s="1644"/>
      <c r="B7" s="299"/>
      <c r="C7" s="652" t="str">
        <f>Datos!A7</f>
        <v>COMPETENCIAS</v>
      </c>
      <c r="D7" s="1892"/>
      <c r="E7" s="1849"/>
      <c r="F7" s="1887"/>
      <c r="G7" s="1849"/>
      <c r="H7" s="1849"/>
      <c r="I7" s="1849"/>
      <c r="J7" s="1849"/>
      <c r="K7" s="1849"/>
      <c r="L7" s="1849"/>
      <c r="M7" s="1849"/>
      <c r="N7" s="1849"/>
      <c r="O7" s="1849"/>
      <c r="P7" s="1882"/>
      <c r="Q7" s="1882"/>
      <c r="R7" s="1849"/>
      <c r="S7" s="1849"/>
      <c r="T7" s="1849"/>
      <c r="U7" s="1849"/>
      <c r="V7" s="1861"/>
      <c r="W7" s="1852"/>
      <c r="X7" s="1855"/>
      <c r="Y7" s="1858"/>
      <c r="Z7" s="1858"/>
      <c r="AA7" s="1849"/>
      <c r="AB7" s="1849"/>
      <c r="AC7" s="1849"/>
      <c r="AD7" s="1849"/>
      <c r="AE7" s="1849"/>
      <c r="AF7" s="1849"/>
      <c r="AG7" s="1849"/>
      <c r="AH7" s="1849"/>
      <c r="AI7" s="1849"/>
      <c r="AJ7" s="1849"/>
      <c r="AK7" s="1849"/>
      <c r="AL7" s="1849"/>
      <c r="AM7" s="1873"/>
      <c r="AN7" s="1849"/>
      <c r="AO7" s="1849"/>
      <c r="AP7" s="1849"/>
      <c r="AQ7" s="1849"/>
      <c r="AR7" s="1849"/>
      <c r="AS7" s="1849"/>
      <c r="AT7" s="1849"/>
      <c r="AU7" s="1849"/>
      <c r="AV7" s="1849"/>
      <c r="AW7" s="1849"/>
      <c r="BT7" s="1849"/>
    </row>
    <row r="8" spans="1:72" ht="15" thickTop="1">
      <c r="A8" s="588"/>
      <c r="B8" s="588"/>
      <c r="C8" s="174" t="str">
        <f>Datos!A8</f>
        <v>Jurisdicción Civil ( 1 ):</v>
      </c>
      <c r="D8" s="595"/>
      <c r="E8" s="716"/>
      <c r="F8" s="230"/>
      <c r="G8" s="543"/>
      <c r="H8" s="231"/>
      <c r="I8" s="230"/>
      <c r="J8" s="231"/>
      <c r="K8" s="231"/>
      <c r="L8" s="231"/>
      <c r="M8" s="231"/>
      <c r="N8" s="231"/>
      <c r="O8" s="231"/>
      <c r="P8" s="544"/>
      <c r="Q8" s="544"/>
      <c r="R8" s="723"/>
      <c r="S8" s="544"/>
      <c r="T8" s="325"/>
      <c r="U8" s="325"/>
      <c r="V8" s="231"/>
      <c r="W8" s="235"/>
      <c r="X8" s="545"/>
      <c r="Y8" s="737"/>
      <c r="Z8" s="737"/>
      <c r="AA8" s="230"/>
      <c r="AB8" s="231"/>
      <c r="AC8" s="231"/>
      <c r="AD8" s="231"/>
      <c r="AE8" s="231"/>
      <c r="AF8" s="339"/>
      <c r="AG8" s="230"/>
      <c r="AH8" s="231"/>
      <c r="AI8" s="232"/>
      <c r="AJ8" s="230"/>
      <c r="AK8" s="231"/>
      <c r="AL8" s="233"/>
      <c r="AM8" s="234"/>
      <c r="AN8" s="235"/>
      <c r="AO8" s="236"/>
      <c r="AP8" s="238"/>
      <c r="AQ8" s="709"/>
      <c r="AR8" s="709"/>
      <c r="AS8" s="709"/>
      <c r="AT8" s="709"/>
      <c r="AU8" s="709"/>
      <c r="AV8" s="325"/>
      <c r="AW8" s="565"/>
      <c r="BT8" s="546"/>
    </row>
    <row r="9" spans="1:72" s="582" customFormat="1" ht="25.5">
      <c r="A9" s="749" t="s">
        <v>803</v>
      </c>
      <c r="B9" s="749" t="s">
        <v>324</v>
      </c>
      <c r="C9" s="770" t="str">
        <f>Datos!A9</f>
        <v xml:space="preserve">Jdos. 1ª Instancia   </v>
      </c>
      <c r="D9" s="597"/>
      <c r="E9" s="752">
        <f>IF(ISNUMBER(Datos!AQ9),Datos!AQ9," - ")</f>
        <v>17</v>
      </c>
      <c r="F9" s="556" t="str">
        <f>IF(ISNUMBER(AA9+Y9-I9-K9),AA9+Y9-I9-K9," - ")</f>
        <v xml:space="preserve"> - </v>
      </c>
      <c r="G9" s="556" t="str">
        <f>IF(ISNUMBER(IF(J_V="SI",Datos!I9,Datos!I9+Datos!Y9)-IF(Monitorios="SI",Datos!CA9,0)),
                          IF(J_V="SI",Datos!I9,Datos!I9+Datos!Y9)-IF(Monitorios="SI",Datos!CA9,0),
                          " - ")</f>
        <v xml:space="preserve"> - </v>
      </c>
      <c r="H9" s="697"/>
      <c r="I9" s="556" t="str">
        <f>IF(ISNUMBER(Datos!DB9),Datos!DB9," - ")</f>
        <v xml:space="preserve"> - </v>
      </c>
      <c r="J9" s="551" t="str">
        <f>IF(ISNUMBER(Datos!DC9),Datos!DC9," - ")</f>
        <v xml:space="preserve"> - </v>
      </c>
      <c r="K9" s="567">
        <f>IF(ISNUMBER(Datos!DF16),Datos!DF16,0)</f>
        <v>0</v>
      </c>
      <c r="L9" s="567"/>
      <c r="M9" s="556"/>
      <c r="N9" s="697">
        <f>IF(ISNUMBER(Datos!P9),Datos!P9,0)</f>
        <v>6660</v>
      </c>
      <c r="O9" s="697" t="str">
        <f>IF(ISNUMBER(Datos!DE9),Datos!DE9," - ")</f>
        <v xml:space="preserve"> - </v>
      </c>
      <c r="P9" s="1494"/>
      <c r="Q9" s="1494"/>
      <c r="R9" s="567" t="str">
        <f>IF(ISNUMBER(Datos!AS9),Datos!AS9," - ")</f>
        <v xml:space="preserve"> - </v>
      </c>
      <c r="S9" s="552" t="str">
        <f>IF(ISNUMBER(R9/(Datos!BM9/factor_trimestre)),R9/(Datos!BM9/factor_trimestre)," - ")</f>
        <v xml:space="preserve"> - </v>
      </c>
      <c r="T9" s="551" t="str">
        <f>IF(ISNUMBER(Datos!EO9),Datos!EO9," - ")</f>
        <v xml:space="preserve"> - </v>
      </c>
      <c r="U9" s="1327" t="e">
        <f>(T9/Datos!ER9)*factor_trimestre</f>
        <v>#VALUE!</v>
      </c>
      <c r="V9" s="567" t="str">
        <f>IF(ISNUMBER(Datos!CB9),Datos!CB9," - ")</f>
        <v xml:space="preserve"> - </v>
      </c>
      <c r="W9" s="556">
        <f>IF(ISNUMBER(Datos!BY9+Datos!BZ9*0.86),Datos!BY9+Datos!BZ9*0.86," - ")</f>
        <v>0</v>
      </c>
      <c r="X9" s="766">
        <f>IF(ISNUMBER((W9*factor_trimestre)/DatosB!CN9),(W9*factor_trimestre)/DatosB!CN9,"-")</f>
        <v>0</v>
      </c>
      <c r="Y9" s="810" t="str">
        <f>IF(ISNUMBER(IF(J_V="SI",Datos!K9,Datos!K9+Datos!AA9)-IF(Monitorios="SI",Datos!CC9,0)),
                          IF(J_V="SI",Datos!K9,Datos!K9+Datos!AA9)-IF(Monitorios="SI",Datos!CC9,0),
                          " - ")</f>
        <v xml:space="preserve"> - </v>
      </c>
      <c r="Z9" s="810">
        <f>IF(ISNUMBER(Datos!Q9),Datos!Q9," - ")</f>
        <v>8782</v>
      </c>
      <c r="AA9" s="555" t="str">
        <f>IF(ISNUMBER(IF(J_V="SI",Datos!L9,Datos!L9+Datos!AB9)-IF(Monitorios="SI",Datos!CD9,0)),
                          IF(J_V="SI",Datos!L9,Datos!L9+Datos!AB9)-IF(Monitorios="SI",Datos!CD9,0),
                          " - ")</f>
        <v xml:space="preserve"> - </v>
      </c>
      <c r="AB9" s="553"/>
      <c r="AC9" s="553"/>
      <c r="AD9" s="567"/>
      <c r="AE9" s="567">
        <f>IF(ISNUMBER(Datos!R9),Datos!R9," - ")</f>
        <v>21751</v>
      </c>
      <c r="AF9" s="697" t="str">
        <f>IF(ISNUMBER(Datos!BV9),Datos!BV9," - ")</f>
        <v xml:space="preserve"> - </v>
      </c>
      <c r="AG9" s="556" t="str">
        <f>IF(ISNUMBER(Datos!DV9),Datos!DV9," - ")</f>
        <v xml:space="preserve"> - </v>
      </c>
      <c r="AH9" s="557"/>
      <c r="AI9" s="558"/>
      <c r="AJ9" s="556">
        <f>IF(ISNUMBER(Datos!M9),Datos!M9," - ")</f>
        <v>8836</v>
      </c>
      <c r="AK9" s="697">
        <f>IF(ISNUMBER(Datos!N9),Datos!N9," - ")</f>
        <v>20181</v>
      </c>
      <c r="AL9" s="697" t="str">
        <f>IF(ISNUMBER(Datos!BW9),Datos!BW9," - ")</f>
        <v xml:space="preserve"> - </v>
      </c>
      <c r="AM9" s="767" t="str">
        <f>IF(ISNUMBER(Datos!BX9),Datos!BX9," - ")</f>
        <v xml:space="preserve"> - </v>
      </c>
      <c r="AN9" s="768"/>
      <c r="AO9" s="769">
        <f>IF(ISNUMBER(((NºAsuntos!I9/NºAsuntos!G9)*11)/factor_trimestre),((NºAsuntos!I9/NºAsuntos!G9)*11)/factor_trimestre," - ")</f>
        <v>6.8138493398912763</v>
      </c>
      <c r="AP9" s="559" t="str">
        <f>IF(ISNUMBER(Datos!CI9/Datos!CJ9),Datos!CI9/Datos!CJ9," - ")</f>
        <v xml:space="preserve"> - </v>
      </c>
      <c r="AQ9" s="559" t="str">
        <f>IF(ISNUMBER((J9-Y9+K9)/(F9)),(J9-Y9+K9)/(F9)," - ")</f>
        <v xml:space="preserve"> - </v>
      </c>
      <c r="AR9" s="559">
        <f>IF(ISNUMBER((Datos!P9-Datos!Q9+Datos!DE9)/(Datos!R9-Datos!P9+Datos!Q9-Datos!DE9)),(Datos!P9-Datos!Q9+Datos!DE9)/(Datos!R9-Datos!P9+Datos!Q9-Datos!DE9)," - ")</f>
        <v>-8.8887027185523396E-2</v>
      </c>
      <c r="AS9" s="753"/>
      <c r="AT9" s="753"/>
      <c r="AU9" s="721" t="str">
        <f>IF(ISNUMBER(Datos!CW9),Datos!CW9," - ")</f>
        <v xml:space="preserve"> - </v>
      </c>
      <c r="AV9" s="721">
        <f>Datos!CX9</f>
        <v>0</v>
      </c>
      <c r="AW9" s="826">
        <f>Datos!DU9</f>
        <v>0</v>
      </c>
      <c r="BT9" s="1382">
        <f>Datos!ER9/factor_trimestre</f>
        <v>1200</v>
      </c>
    </row>
    <row r="10" spans="1:72" s="582" customFormat="1" ht="14.25">
      <c r="A10" s="749">
        <f>Datos!AO10</f>
        <v>3</v>
      </c>
      <c r="B10" s="750" t="s">
        <v>324</v>
      </c>
      <c r="C10" s="751" t="str">
        <f>Datos!A10</f>
        <v>Jdos. Violencia contra la mujer</v>
      </c>
      <c r="D10" s="605"/>
      <c r="E10" s="752">
        <f>IF(ISNUMBER(Datos!AQ10),Datos!AQ10," - ")</f>
        <v>3</v>
      </c>
      <c r="F10" s="556">
        <f>IF(ISNUMBER(Datos!L10+Datos!K10-Datos!J10),Datos!L10+Datos!K10-Datos!J10," - ")</f>
        <v>265</v>
      </c>
      <c r="G10" s="556">
        <f>IF(ISNUMBER(Datos!I10),Datos!I10," - ")</f>
        <v>260</v>
      </c>
      <c r="H10" s="697"/>
      <c r="I10" s="556" t="str">
        <f>IF(ISNUMBER(Datos!DB10),Datos!DB10," - ")</f>
        <v xml:space="preserve"> - </v>
      </c>
      <c r="J10" s="551" t="str">
        <f>IF(ISNUMBER(Datos!DC10),Datos!DC10," - ")</f>
        <v xml:space="preserve"> - </v>
      </c>
      <c r="K10" s="567">
        <f>IF(ISNUMBER(Datos!DF18),Datos!DF18,0)</f>
        <v>0</v>
      </c>
      <c r="L10" s="567"/>
      <c r="M10" s="567"/>
      <c r="N10" s="697">
        <f>IF(ISNUMBER(Datos!P10),Datos!P10,0)</f>
        <v>163</v>
      </c>
      <c r="O10" s="697" t="str">
        <f>IF(ISNUMBER(Datos!DE10),Datos!DE10," - ")</f>
        <v xml:space="preserve"> - </v>
      </c>
      <c r="P10" s="1494"/>
      <c r="Q10" s="1494"/>
      <c r="R10" s="567" t="str">
        <f>IF(ISNUMBER(Datos!AS10),Datos!AS10," - ")</f>
        <v xml:space="preserve"> - </v>
      </c>
      <c r="S10" s="552" t="str">
        <f>IF(ISNUMBER(R10/(Datos!BM10/factor_trimestre)),R10/(Datos!BM10/factor_trimestre)," - ")</f>
        <v xml:space="preserve"> - </v>
      </c>
      <c r="T10" s="551" t="str">
        <f>IF(ISNUMBER(Datos!EO10),Datos!EO10," - ")</f>
        <v xml:space="preserve"> - </v>
      </c>
      <c r="U10" s="1327" t="e">
        <f>(T10/Datos!ER10)*factor_trimestre</f>
        <v>#VALUE!</v>
      </c>
      <c r="V10" s="567"/>
      <c r="W10" s="556" t="str">
        <f>IF(ISNUMBER(Datos!BY10),Datos!BY10," - ")</f>
        <v xml:space="preserve"> - </v>
      </c>
      <c r="X10" s="766" t="str">
        <f>IF(ISNUMBER((W10*factor_trimestre)/DatosB!CN10),(W10*factor_trimestre)/DatosB!CN10,"-")</f>
        <v>-</v>
      </c>
      <c r="Y10" s="810">
        <f>IF(ISNUMBER(Datos!K10),Datos!K10," - ")</f>
        <v>532</v>
      </c>
      <c r="Z10" s="810">
        <f>IF(ISNUMBER(Datos!Q10),Datos!Q10," - ")</f>
        <v>195</v>
      </c>
      <c r="AA10" s="555">
        <f>IF(ISNUMBER(Datos!L10),Datos!L10,"-")</f>
        <v>204</v>
      </c>
      <c r="AB10" s="553"/>
      <c r="AC10" s="553"/>
      <c r="AD10" s="567"/>
      <c r="AE10" s="567">
        <f>IF(ISNUMBER(Datos!R10),Datos!R10," - ")</f>
        <v>285</v>
      </c>
      <c r="AF10" s="697" t="str">
        <f>IF(ISNUMBER(Datos!BV10),Datos!BV10," - ")</f>
        <v xml:space="preserve"> - </v>
      </c>
      <c r="AG10" s="556" t="str">
        <f>IF(ISNUMBER(Datos!DV10),Datos!DV10," - ")</f>
        <v xml:space="preserve"> - </v>
      </c>
      <c r="AH10" s="557"/>
      <c r="AI10" s="558"/>
      <c r="AJ10" s="556">
        <f>IF(ISNUMBER(Datos!M10),Datos!M10," - ")</f>
        <v>207</v>
      </c>
      <c r="AK10" s="697">
        <f>IF(ISNUMBER(Datos!N10),Datos!N10," - ")</f>
        <v>247</v>
      </c>
      <c r="AL10" s="697" t="str">
        <f>IF(ISNUMBER(Datos!BW10),Datos!BW10," - ")</f>
        <v xml:space="preserve"> - </v>
      </c>
      <c r="AM10" s="767" t="str">
        <f>IF(ISNUMBER(Datos!BX10),Datos!BX10," - ")</f>
        <v xml:space="preserve"> - </v>
      </c>
      <c r="AN10" s="768"/>
      <c r="AO10" s="769">
        <f>IF(ISNUMBER(((NºAsuntos!I10/NºAsuntos!G10)*11)/factor_trimestre),((NºAsuntos!I10/NºAsuntos!G10)*11)/factor_trimestre," - ")</f>
        <v>4.2180451127819545</v>
      </c>
      <c r="AP10" s="559" t="str">
        <f>IF(ISNUMBER(Datos!CI10/Datos!CJ10),Datos!CI10/Datos!CJ10," - ")</f>
        <v xml:space="preserve"> - </v>
      </c>
      <c r="AQ10" s="559" t="str">
        <f>IF(ISNUMBER((I10-Y10+K10)/(F10)),(I10-Y10+K10)/(F10)," - ")</f>
        <v xml:space="preserve"> - </v>
      </c>
      <c r="AR10" s="559">
        <f>IF(ISNUMBER((Datos!P10-Datos!Q10+Datos!DE10)/(Datos!R10-Datos!P10+Datos!Q10-Datos!DE10)),(Datos!P10-Datos!Q10+Datos!DE10)/(Datos!R10-Datos!P10+Datos!Q10-Datos!DE10)," - ")</f>
        <v>-0.10094637223974763</v>
      </c>
      <c r="AS10" s="753"/>
      <c r="AT10" s="753"/>
      <c r="AU10" s="721" t="str">
        <f>IF(ISNUMBER(Datos!CW10),Datos!CW10," - ")</f>
        <v xml:space="preserve"> - </v>
      </c>
      <c r="AV10" s="721">
        <f>Datos!CX10</f>
        <v>0</v>
      </c>
      <c r="AW10" s="826">
        <f>Datos!DU10</f>
        <v>0</v>
      </c>
      <c r="BT10" s="1382">
        <f>Datos!ER10/factor_trimestre</f>
        <v>1600</v>
      </c>
    </row>
    <row r="11" spans="1:72" s="582" customFormat="1" ht="14.25">
      <c r="A11" s="749">
        <f>Datos!AO11</f>
        <v>4</v>
      </c>
      <c r="B11" s="750" t="s">
        <v>324</v>
      </c>
      <c r="C11" s="751" t="str">
        <f>Datos!A11</f>
        <v xml:space="preserve">Jdos. Familia                                   </v>
      </c>
      <c r="D11" s="605"/>
      <c r="E11" s="752">
        <f>IF(ISNUMBER(Datos!AQ11),Datos!AQ11," - ")</f>
        <v>4</v>
      </c>
      <c r="F11" s="556" t="str">
        <f>IF(ISNUMBER(AA11+Y11-I11-K11),AA11+Y11-I11-K11," - ")</f>
        <v xml:space="preserve"> - </v>
      </c>
      <c r="G11" s="556" t="str">
        <f>IF(ISNUMBER(IF(J_V="SI",Datos!I11,Datos!I11+Datos!Y11)-IF(Monitorios="SI",Datos!CA11,0)),
                          IF(J_V="SI",Datos!I11,Datos!I11+Datos!Y11)-IF(Monitorios="SI",Datos!CA11,0),
                          " - ")</f>
        <v xml:space="preserve"> - </v>
      </c>
      <c r="H11" s="697"/>
      <c r="I11" s="556" t="str">
        <f>IF(ISNUMBER(Datos!DC11),Datos!DC11," - ")</f>
        <v xml:space="preserve"> - </v>
      </c>
      <c r="J11" s="551" t="str">
        <f>IF(ISNUMBER(Datos!DB11),Datos!DB11," - ")</f>
        <v xml:space="preserve"> - </v>
      </c>
      <c r="K11" s="567">
        <f>IF(ISNUMBER(Datos!DF20),Datos!DF20,0)</f>
        <v>0</v>
      </c>
      <c r="L11" s="567"/>
      <c r="M11" s="567"/>
      <c r="N11" s="697">
        <f>IF(ISNUMBER(Datos!P11),Datos!P11,0)</f>
        <v>879</v>
      </c>
      <c r="O11" s="697" t="str">
        <f>IF(ISNUMBER(Datos!DE11),Datos!DE11," - ")</f>
        <v xml:space="preserve"> - </v>
      </c>
      <c r="P11" s="1494"/>
      <c r="Q11" s="1494"/>
      <c r="R11" s="567" t="str">
        <f>IF(ISNUMBER(Datos!AS11),Datos!AS11," - ")</f>
        <v xml:space="preserve"> - </v>
      </c>
      <c r="S11" s="552" t="str">
        <f>IF(ISNUMBER(R11/(Datos!BM11/factor_trimestre)),R11/(Datos!BM11/factor_trimestre)," - ")</f>
        <v xml:space="preserve"> - </v>
      </c>
      <c r="T11" s="551" t="str">
        <f>IF(ISNUMBER(Datos!EO11),Datos!EO11," - ")</f>
        <v xml:space="preserve"> - </v>
      </c>
      <c r="U11" s="1327" t="e">
        <f>(T11/Datos!ER11)*factor_trimestre</f>
        <v>#VALUE!</v>
      </c>
      <c r="V11" s="567"/>
      <c r="W11" s="556">
        <f>IF(ISNUMBER(Datos!BY11+Datos!BZ11),Datos!BY11+Datos!BZ11," - ")</f>
        <v>0</v>
      </c>
      <c r="X11" s="766">
        <f>IF(ISNUMBER((W11*factor_trimestre)/DatosB!CN11),(W11*factor_trimestre)/DatosB!CN11,"-")</f>
        <v>0</v>
      </c>
      <c r="Y11" s="810" t="str">
        <f>IF(ISNUMBER(IF(J_V="SI",Datos!K11,Datos!K11+Datos!AA11)-IF(Monitorios="SI",Datos!CC11,0)),
                          IF(J_V="SI",Datos!K11,Datos!K11+Datos!AA11)-IF(Monitorios="SI",Datos!CC11,0),
                          " - ")</f>
        <v xml:space="preserve"> - </v>
      </c>
      <c r="Z11" s="810">
        <f>IF(ISNUMBER(Datos!Q11),Datos!Q11," - ")</f>
        <v>1135</v>
      </c>
      <c r="AA11" s="555" t="str">
        <f>IF(ISNUMBER(IF(J_V="SI",Datos!L11,Datos!L11+Datos!AB11)-IF(Monitorios="SI",Datos!CD11,0)),
                          IF(J_V="SI",Datos!L11,Datos!L11+Datos!AB11)-IF(Monitorios="SI",Datos!CD11,0),
                          " - ")</f>
        <v xml:space="preserve"> - </v>
      </c>
      <c r="AB11" s="553"/>
      <c r="AC11" s="553"/>
      <c r="AD11" s="567"/>
      <c r="AE11" s="567">
        <f>IF(ISNUMBER(Datos!R11),Datos!R11," - ")</f>
        <v>2366</v>
      </c>
      <c r="AF11" s="697" t="str">
        <f>IF(ISNUMBER(Datos!BV11),Datos!BV11," - ")</f>
        <v xml:space="preserve"> - </v>
      </c>
      <c r="AG11" s="556" t="str">
        <f>IF(ISNUMBER(Datos!DV11),Datos!DV11," - ")</f>
        <v xml:space="preserve"> - </v>
      </c>
      <c r="AH11" s="557"/>
      <c r="AI11" s="558"/>
      <c r="AJ11" s="556">
        <f>IF(ISNUMBER(Datos!M11),Datos!M11," - ")</f>
        <v>2904</v>
      </c>
      <c r="AK11" s="697">
        <f>IF(ISNUMBER(Datos!N11),Datos!N11," - ")</f>
        <v>1571</v>
      </c>
      <c r="AL11" s="697" t="str">
        <f>IF(ISNUMBER(Datos!BW11),Datos!BW11," - ")</f>
        <v xml:space="preserve"> - </v>
      </c>
      <c r="AM11" s="767" t="str">
        <f>IF(ISNUMBER(Datos!BX11),Datos!BX11," - ")</f>
        <v xml:space="preserve"> - </v>
      </c>
      <c r="AN11" s="768"/>
      <c r="AO11" s="769">
        <f>IF(ISNUMBER(((NºAsuntos!I11/NºAsuntos!G11)*11)/factor_trimestre),((NºAsuntos!I11/NºAsuntos!G11)*11)/factor_trimestre," - ")</f>
        <v>4.7373454245671889</v>
      </c>
      <c r="AP11" s="559" t="str">
        <f>IF(ISNUMBER(Datos!CI11/Datos!CJ11),Datos!CI11/Datos!CJ11," - ")</f>
        <v xml:space="preserve"> - </v>
      </c>
      <c r="AQ11" s="559" t="str">
        <f>IF(ISNUMBER((J11-Y11+K11)/(F11)),(J11-Y11+K11)/(F11)," - ")</f>
        <v xml:space="preserve"> - </v>
      </c>
      <c r="AR11" s="559">
        <f>IF(ISNUMBER((Datos!P11-Datos!Q11+Datos!DE11)/(Datos!R11-Datos!P11+Datos!Q11-Datos!DE11)),(Datos!P11-Datos!Q11+Datos!DE11)/(Datos!R11-Datos!P11+Datos!Q11-Datos!DE11)," - ")</f>
        <v>-9.7635392829900844E-2</v>
      </c>
      <c r="AS11" s="753"/>
      <c r="AT11" s="753"/>
      <c r="AU11" s="721" t="str">
        <f>IF(ISNUMBER(Datos!CW11),Datos!CW11," - ")</f>
        <v xml:space="preserve"> - </v>
      </c>
      <c r="AV11" s="721">
        <f>Datos!CX11</f>
        <v>0</v>
      </c>
      <c r="AW11" s="826">
        <f>Datos!DU11</f>
        <v>0</v>
      </c>
      <c r="BT11" s="1382">
        <f>Datos!ER11/factor_trimestre</f>
        <v>1323</v>
      </c>
    </row>
    <row r="12" spans="1:72" s="582" customFormat="1" ht="14.25">
      <c r="A12" s="749">
        <f>Datos!AO12</f>
        <v>0</v>
      </c>
      <c r="B12" s="750" t="s">
        <v>324</v>
      </c>
      <c r="C12" s="751" t="str">
        <f>Datos!A12</f>
        <v xml:space="preserve">Jdos. 1ª Instª. e Instr.                        </v>
      </c>
      <c r="D12" s="605"/>
      <c r="E12" s="752">
        <f>IF(ISNUMBER(Datos!AQ12),Datos!AQ12," - ")</f>
        <v>0</v>
      </c>
      <c r="F12" s="556" t="str">
        <f>IF(ISNUMBER(AA12+Y12-I12-K12),AA12+Y12-I12-K12," - ")</f>
        <v xml:space="preserve"> - </v>
      </c>
      <c r="G12" s="556" t="str">
        <f>IF(ISNUMBER(IF(J_V="SI",Datos!I12,Datos!I12+Datos!Y12)-IF(Monitorios="SI",Datos!CA12,0)),
                          IF(J_V="SI",Datos!I12,Datos!I12+Datos!Y12)-IF(Monitorios="SI",Datos!CA12,0),
                          " - ")</f>
        <v xml:space="preserve"> - </v>
      </c>
      <c r="H12" s="697"/>
      <c r="I12" s="556" t="str">
        <f>IF(ISNUMBER(Datos!DC12),Datos!DC12," - ")</f>
        <v xml:space="preserve"> - </v>
      </c>
      <c r="J12" s="551" t="str">
        <f>IF(ISNUMBER(Datos!DB12),Datos!DB12," - ")</f>
        <v xml:space="preserve"> - </v>
      </c>
      <c r="K12" s="567">
        <f>IF(ISNUMBER(Datos!DF21),Datos!DF21,0)</f>
        <v>0</v>
      </c>
      <c r="L12" s="567"/>
      <c r="M12" s="567"/>
      <c r="N12" s="697">
        <f>IF(ISNUMBER(Datos!P12),Datos!P12,0)</f>
        <v>0</v>
      </c>
      <c r="O12" s="697" t="str">
        <f>IF(ISNUMBER(Datos!DE12),Datos!DE12," - ")</f>
        <v xml:space="preserve"> - </v>
      </c>
      <c r="P12" s="1494"/>
      <c r="Q12" s="1494"/>
      <c r="R12" s="567" t="str">
        <f>IF(ISNUMBER(Datos!AS12*(2500/380)+DatosP!AS12),Datos!AS12*(2500/380)+DatosP!AS12," - ")</f>
        <v xml:space="preserve"> - </v>
      </c>
      <c r="S12" s="552" t="str">
        <f>IF(ISNUMBER(R12/(Datos!BM12/factor_trimestre)),R12/(Datos!BM12/factor_trimestre)," - ")</f>
        <v xml:space="preserve"> - </v>
      </c>
      <c r="T12" s="551" t="str">
        <f>IF(ISNUMBER(Datos!EO12),Datos!EO12," - ")</f>
        <v xml:space="preserve"> - </v>
      </c>
      <c r="U12" s="1327" t="e">
        <f>(T12/Datos!ER12)*factor_trimestre</f>
        <v>#VALUE!</v>
      </c>
      <c r="V12" s="567" t="str">
        <f>IF(ISNUMBER(Datos!CB12),Datos!CB12," - ")</f>
        <v xml:space="preserve"> - </v>
      </c>
      <c r="W12" s="556" t="str">
        <f>IF(ISNUMBER(Datos!BY12),Datos!BY12," - ")</f>
        <v xml:space="preserve"> - </v>
      </c>
      <c r="X12" s="766" t="str">
        <f>IF(ISNUMBER((W12*factor_trimestre)/DatosB!CN12),(W12*factor_trimestre)/DatosB!CN12,"-")</f>
        <v>-</v>
      </c>
      <c r="Y12" s="810" t="str">
        <f>IF(ISNUMBER(IF(J_V="SI",Datos!K12,Datos!K12+Datos!AA12)-IF(Monitorios="SI",Datos!CC12,0)),
                          IF(J_V="SI",Datos!K12,Datos!K12+Datos!AA12)-IF(Monitorios="SI",Datos!CC12,0),
                          " - ")</f>
        <v xml:space="preserve"> - </v>
      </c>
      <c r="Z12" s="810" t="str">
        <f>IF(ISNUMBER(Datos!Q12),Datos!Q12," - ")</f>
        <v xml:space="preserve"> - </v>
      </c>
      <c r="AA12" s="555" t="str">
        <f>IF(ISNUMBER(IF(J_V="SI",Datos!L12,Datos!L12+Datos!AB12)-IF(Monitorios="SI",Datos!CD12,0)),
                          IF(J_V="SI",Datos!L12,Datos!L12+Datos!AB12)-IF(Monitorios="SI",Datos!CD12,0),
                          " - ")</f>
        <v xml:space="preserve"> - </v>
      </c>
      <c r="AB12" s="553"/>
      <c r="AC12" s="553"/>
      <c r="AD12" s="567"/>
      <c r="AE12" s="567" t="str">
        <f>IF(ISNUMBER(Datos!R12),Datos!R12," - ")</f>
        <v xml:space="preserve"> - </v>
      </c>
      <c r="AF12" s="697" t="str">
        <f>IF(ISNUMBER(Datos!BV12),Datos!BV12," - ")</f>
        <v xml:space="preserve"> - </v>
      </c>
      <c r="AG12" s="556" t="str">
        <f>IF(ISNUMBER(Datos!DV12),Datos!DV12," - ")</f>
        <v xml:space="preserve"> - </v>
      </c>
      <c r="AH12" s="557"/>
      <c r="AI12" s="558"/>
      <c r="AJ12" s="556" t="str">
        <f>IF(ISNUMBER(Datos!M12),Datos!M12," - ")</f>
        <v xml:space="preserve"> - </v>
      </c>
      <c r="AK12" s="697" t="str">
        <f>IF(ISNUMBER(Datos!N12),Datos!N12," - ")</f>
        <v xml:space="preserve"> - </v>
      </c>
      <c r="AL12" s="697" t="str">
        <f>IF(ISNUMBER(Datos!BW12),Datos!BW12," - ")</f>
        <v xml:space="preserve"> - </v>
      </c>
      <c r="AM12" s="767" t="str">
        <f>IF(ISNUMBER(Datos!BX12),Datos!BX12," - ")</f>
        <v xml:space="preserve"> - </v>
      </c>
      <c r="AN12" s="768"/>
      <c r="AO12" s="769" t="str">
        <f>IF(ISNUMBER(((NºAsuntos!I12/NºAsuntos!G12)*11)/factor_trimestre),((NºAsuntos!I12/NºAsuntos!G12)*11)/factor_trimestre," - ")</f>
        <v xml:space="preserve"> - </v>
      </c>
      <c r="AP12" s="559" t="str">
        <f>IF(ISNUMBER(Datos!CI12/Datos!CJ12),Datos!CI12/Datos!CJ12," - ")</f>
        <v xml:space="preserve"> - </v>
      </c>
      <c r="AQ12" s="559" t="str">
        <f>IF(ISNUMBER((J12-Y12+K12)/(F12)),(J12-Y12+K12)/(F12)," - ")</f>
        <v xml:space="preserve"> - </v>
      </c>
      <c r="AR12" s="559" t="str">
        <f>IF(ISNUMBER((Datos!P12-Datos!Q12+Datos!DE12)/(Datos!R12-Datos!P12+Datos!Q12-Datos!DE12)),(Datos!P12-Datos!Q12+Datos!DE12)/(Datos!R12-Datos!P12+Datos!Q12-Datos!DE12)," - ")</f>
        <v xml:space="preserve"> - </v>
      </c>
      <c r="AS12" s="753"/>
      <c r="AT12" s="753"/>
      <c r="AU12" s="721" t="str">
        <f>IF(ISNUMBER(Datos!CW12),Datos!CW12," - ")</f>
        <v xml:space="preserve"> - </v>
      </c>
      <c r="AV12" s="721">
        <f>Datos!CX12</f>
        <v>0</v>
      </c>
      <c r="AW12" s="826">
        <f>Datos!DU12</f>
        <v>0</v>
      </c>
      <c r="BT12" s="1382">
        <f>Datos!ER12/factor_trimestre</f>
        <v>680</v>
      </c>
    </row>
    <row r="13" spans="1:72" s="582" customFormat="1" ht="15" thickBot="1">
      <c r="A13" s="749">
        <f>Datos!AO13</f>
        <v>0</v>
      </c>
      <c r="B13" s="750" t="s">
        <v>324</v>
      </c>
      <c r="C13" s="751" t="str">
        <f>Datos!A13</f>
        <v xml:space="preserve">Jdos. de Menores    </v>
      </c>
      <c r="D13" s="605"/>
      <c r="E13" s="752">
        <f>IF(ISNUMBER(Datos!AQ13),Datos!AQ13," - ")</f>
        <v>0</v>
      </c>
      <c r="F13" s="556" t="str">
        <f>IF(ISNUMBER(Datos!L13+Datos!K13-Datos!J13),Datos!L13+Datos!K13-Datos!J13," - ")</f>
        <v xml:space="preserve"> - </v>
      </c>
      <c r="G13" s="556" t="str">
        <f>IF(ISNUMBER(Datos!I13),Datos!I13," - ")</f>
        <v xml:space="preserve"> - </v>
      </c>
      <c r="H13" s="697"/>
      <c r="I13" s="556" t="str">
        <f>IF(ISNUMBER(Datos!DB13),Datos!DB13," - ")</f>
        <v xml:space="preserve"> - </v>
      </c>
      <c r="J13" s="551" t="str">
        <f>IF(ISNUMBER(Datos!DC13),Datos!DC13," - ")</f>
        <v xml:space="preserve"> - </v>
      </c>
      <c r="K13" s="567">
        <f>IF(ISNUMBER(Datos!DF22),Datos!DF22,0)</f>
        <v>0</v>
      </c>
      <c r="L13" s="567"/>
      <c r="M13" s="567"/>
      <c r="N13" s="697">
        <f>IF(ISNUMBER(Datos!P13),Datos!P13,0)</f>
        <v>0</v>
      </c>
      <c r="O13" s="697" t="str">
        <f>IF(ISNUMBER(Datos!DE13),Datos!DE13," - ")</f>
        <v xml:space="preserve"> - </v>
      </c>
      <c r="P13" s="1494"/>
      <c r="Q13" s="1494"/>
      <c r="R13" s="567" t="str">
        <f>IF(ISNUMBER(Datos!AS13),Datos!AS13," - ")</f>
        <v xml:space="preserve"> - </v>
      </c>
      <c r="S13" s="552" t="str">
        <f>IF(ISNUMBER(R13/(Datos!BM13/factor_trimestre)),R13/(Datos!BM13/factor_trimestre)," - ")</f>
        <v xml:space="preserve"> - </v>
      </c>
      <c r="T13" s="551" t="str">
        <f>IF(ISNUMBER(Datos!EO13),Datos!EO13," - ")</f>
        <v xml:space="preserve"> - </v>
      </c>
      <c r="U13" s="1327" t="e">
        <f>(T13/Datos!ER13)*factor_trimestre</f>
        <v>#VALUE!</v>
      </c>
      <c r="V13" s="567"/>
      <c r="W13" s="556" t="str">
        <f>IF(ISNUMBER(Datos!BY13),Datos!BY13," - ")</f>
        <v xml:space="preserve"> - </v>
      </c>
      <c r="X13" s="766" t="str">
        <f>IF(ISNUMBER((W13*factor_trimestre)/DatosB!CN13),(W13*factor_trimestre)/DatosB!CN13,"-")</f>
        <v>-</v>
      </c>
      <c r="Y13" s="810" t="str">
        <f>IF(ISNUMBER(Datos!K13),Datos!K13," - ")</f>
        <v xml:space="preserve"> - </v>
      </c>
      <c r="Z13" s="810" t="str">
        <f>IF(ISNUMBER(Datos!Q13),Datos!Q13," - ")</f>
        <v xml:space="preserve"> - </v>
      </c>
      <c r="AA13" s="555" t="str">
        <f>IF(ISNUMBER(Datos!L13),Datos!L13,"-")</f>
        <v>-</v>
      </c>
      <c r="AB13" s="553"/>
      <c r="AC13" s="553"/>
      <c r="AD13" s="567"/>
      <c r="AE13" s="567" t="str">
        <f>IF(ISNUMBER(Datos!R13),Datos!R13," - ")</f>
        <v xml:space="preserve"> - </v>
      </c>
      <c r="AF13" s="697" t="str">
        <f>IF(ISNUMBER(Datos!BV13),Datos!BV13," - ")</f>
        <v xml:space="preserve"> - </v>
      </c>
      <c r="AG13" s="556" t="str">
        <f>IF(ISNUMBER(Datos!DV13),Datos!DV13," - ")</f>
        <v xml:space="preserve"> - </v>
      </c>
      <c r="AH13" s="557"/>
      <c r="AI13" s="558"/>
      <c r="AJ13" s="556" t="str">
        <f>IF(ISNUMBER(Datos!M13),Datos!M13," - ")</f>
        <v xml:space="preserve"> - </v>
      </c>
      <c r="AK13" s="697" t="str">
        <f>IF(ISNUMBER(Datos!N13),Datos!N13," - ")</f>
        <v xml:space="preserve"> - </v>
      </c>
      <c r="AL13" s="697" t="str">
        <f>IF(ISNUMBER(Datos!BW13),Datos!BW13," - ")</f>
        <v xml:space="preserve"> - </v>
      </c>
      <c r="AM13" s="767" t="str">
        <f>IF(ISNUMBER(Datos!BX13),Datos!BX13," - ")</f>
        <v xml:space="preserve"> - </v>
      </c>
      <c r="AN13" s="768"/>
      <c r="AO13" s="769" t="str">
        <f>IF(ISNUMBER(((NºAsuntos!I13/NºAsuntos!G13)*11)/factor_trimestre),((NºAsuntos!I13/NºAsuntos!G13)*11)/factor_trimestre," - ")</f>
        <v xml:space="preserve"> - </v>
      </c>
      <c r="AP13" s="559" t="str">
        <f>IF(ISNUMBER(Datos!CI13/Datos!CJ13),Datos!CI13/Datos!CJ13," - ")</f>
        <v xml:space="preserve"> - </v>
      </c>
      <c r="AQ13" s="559" t="str">
        <f t="shared" ref="AQ13" si="0">IF(ISNUMBER((I13-Y13+K13)/(F13)),(I13-Y13+K13)/(F13)," - ")</f>
        <v xml:space="preserve"> - </v>
      </c>
      <c r="AR13" s="559" t="str">
        <f>IF(ISNUMBER((Datos!P13-Datos!Q13+Datos!DE13)/(Datos!R13-Datos!P13+Datos!Q13-Datos!DE13)),(Datos!P13-Datos!Q13+Datos!DE13)/(Datos!R13-Datos!P13+Datos!Q13-Datos!DE13)," - ")</f>
        <v xml:space="preserve"> - </v>
      </c>
      <c r="AS13" s="753"/>
      <c r="AT13" s="753"/>
      <c r="AU13" s="721" t="str">
        <f>IF(ISNUMBER(Datos!CW13),Datos!CW13," - ")</f>
        <v xml:space="preserve"> - </v>
      </c>
      <c r="AV13" s="721">
        <f>Datos!CX13</f>
        <v>0</v>
      </c>
      <c r="AW13" s="826">
        <f>Datos!DU13</f>
        <v>0</v>
      </c>
      <c r="BT13" s="1382">
        <f>Datos!ER13/factor_trimestre</f>
        <v>875</v>
      </c>
    </row>
    <row r="14" spans="1:72" ht="15.75" thickTop="1" thickBot="1">
      <c r="A14" s="191"/>
      <c r="B14" s="191"/>
      <c r="C14" s="1163" t="str">
        <f>Datos!A14</f>
        <v>TOTAL</v>
      </c>
      <c r="D14" s="1163"/>
      <c r="E14" s="1200">
        <f>SUBTOTAL(9,E8:E13)</f>
        <v>24</v>
      </c>
      <c r="F14" s="1200">
        <f>SUBTOTAL(9,F8:F13)</f>
        <v>265</v>
      </c>
      <c r="G14" s="1200">
        <f>SUBTOTAL(9,G8:G13)</f>
        <v>260</v>
      </c>
      <c r="H14" s="1214"/>
      <c r="I14" s="1200">
        <f t="shared" ref="I14:N14" si="1">SUBTOTAL(9,I8:I13)</f>
        <v>0</v>
      </c>
      <c r="J14" s="1167">
        <f t="shared" si="1"/>
        <v>0</v>
      </c>
      <c r="K14" s="1214">
        <f t="shared" si="1"/>
        <v>0</v>
      </c>
      <c r="L14" s="1214">
        <f t="shared" si="1"/>
        <v>0</v>
      </c>
      <c r="M14" s="1214">
        <f t="shared" si="1"/>
        <v>0</v>
      </c>
      <c r="N14" s="1214">
        <f t="shared" si="1"/>
        <v>7702</v>
      </c>
      <c r="O14" s="1214"/>
      <c r="P14" s="1496"/>
      <c r="Q14" s="1496"/>
      <c r="R14" s="1214">
        <f t="shared" ref="R14:W14" si="2">SUBTOTAL(9,R8:R13)</f>
        <v>0</v>
      </c>
      <c r="S14" s="1496">
        <f t="shared" si="2"/>
        <v>0</v>
      </c>
      <c r="T14" s="1167">
        <f t="shared" si="2"/>
        <v>0</v>
      </c>
      <c r="U14" s="1328" t="e">
        <f t="shared" si="2"/>
        <v>#VALUE!</v>
      </c>
      <c r="V14" s="1213">
        <f t="shared" si="2"/>
        <v>0</v>
      </c>
      <c r="W14" s="1214">
        <f t="shared" si="2"/>
        <v>0</v>
      </c>
      <c r="X14" s="1241">
        <f>IF(ISNUMBER((W14*factor_trimestre)/Datos!CN14),(W14*factor_trimestre)/Datos!CN14,"-")</f>
        <v>0</v>
      </c>
      <c r="Y14" s="1213">
        <f t="shared" ref="Y14:AN14" si="3">SUBTOTAL(9,Y8:Y13)</f>
        <v>532</v>
      </c>
      <c r="Z14" s="1213">
        <f t="shared" si="3"/>
        <v>10112</v>
      </c>
      <c r="AA14" s="1202">
        <f t="shared" si="3"/>
        <v>204</v>
      </c>
      <c r="AB14" s="1202">
        <f t="shared" si="3"/>
        <v>0</v>
      </c>
      <c r="AC14" s="1202">
        <f t="shared" si="3"/>
        <v>0</v>
      </c>
      <c r="AD14" s="1202">
        <f t="shared" si="3"/>
        <v>0</v>
      </c>
      <c r="AE14" s="1202">
        <f t="shared" si="3"/>
        <v>24402</v>
      </c>
      <c r="AF14" s="1214">
        <f t="shared" si="3"/>
        <v>0</v>
      </c>
      <c r="AG14" s="1214">
        <f t="shared" si="3"/>
        <v>0</v>
      </c>
      <c r="AH14" s="1214">
        <f t="shared" si="3"/>
        <v>0</v>
      </c>
      <c r="AI14" s="1214">
        <f t="shared" si="3"/>
        <v>0</v>
      </c>
      <c r="AJ14" s="1214">
        <f t="shared" si="3"/>
        <v>11947</v>
      </c>
      <c r="AK14" s="1214">
        <f t="shared" si="3"/>
        <v>21999</v>
      </c>
      <c r="AL14" s="1214">
        <f t="shared" si="3"/>
        <v>0</v>
      </c>
      <c r="AM14" s="1214">
        <f t="shared" si="3"/>
        <v>0</v>
      </c>
      <c r="AN14" s="1214">
        <f t="shared" si="3"/>
        <v>0</v>
      </c>
      <c r="AO14" s="1206">
        <f>IF(ISNUMBER(((NºAsuntos!I14/NºAsuntos!G14)*11)/factor_trimestre),((NºAsuntos!I14/NºAsuntos!G14)*11)/factor_trimestre," - ")</f>
        <v>6.504853295597762</v>
      </c>
      <c r="AP14" s="1216" t="str">
        <f>IF(ISNUMBER(Datos!CI14/Datos!CJ14),Datos!CI14/Datos!CJ14," - ")</f>
        <v xml:space="preserve"> - </v>
      </c>
      <c r="AQ14" s="1240">
        <f>SUBTOTAL(9,AQ9:AQ13)</f>
        <v>0</v>
      </c>
      <c r="AR14" s="1240">
        <f>SUBTOTAL(9,AR9:AR13)</f>
        <v>-0.28746879225517186</v>
      </c>
      <c r="AS14" s="1214">
        <f>SUBTOTAL(9,AS9:AS13)</f>
        <v>0</v>
      </c>
      <c r="AT14" s="1214">
        <f>SUBTOTAL(9,AT9:AT13)</f>
        <v>0</v>
      </c>
      <c r="AU14" s="1214">
        <f>SUBTOTAL(9,AU9:AU13)</f>
        <v>0</v>
      </c>
      <c r="AV14" s="1242"/>
      <c r="AW14" s="1243"/>
      <c r="BT14" s="1201"/>
    </row>
    <row r="15" spans="1:72" ht="15" thickTop="1">
      <c r="A15" s="608"/>
      <c r="B15" s="608"/>
      <c r="C15" s="311" t="str">
        <f>Datos!A15</f>
        <v xml:space="preserve">Jurisdicción Penal ( 2 ):                      </v>
      </c>
      <c r="D15" s="609"/>
      <c r="E15" s="717"/>
      <c r="F15" s="249"/>
      <c r="G15" s="849"/>
      <c r="H15" s="243"/>
      <c r="I15" s="590"/>
      <c r="J15" s="231"/>
      <c r="K15" s="566"/>
      <c r="L15" s="566"/>
      <c r="M15" s="566"/>
      <c r="N15" s="243"/>
      <c r="O15" s="243"/>
      <c r="P15" s="1495"/>
      <c r="Q15" s="1495"/>
      <c r="R15" s="408"/>
      <c r="S15" s="1487"/>
      <c r="T15" s="326"/>
      <c r="U15" s="1329"/>
      <c r="V15" s="765"/>
      <c r="W15" s="239"/>
      <c r="X15" s="548"/>
      <c r="Y15" s="807"/>
      <c r="Z15" s="809"/>
      <c r="AA15" s="590"/>
      <c r="AB15" s="374"/>
      <c r="AC15" s="374"/>
      <c r="AD15" s="566"/>
      <c r="AE15" s="566"/>
      <c r="AF15" s="615"/>
      <c r="AG15" s="239"/>
      <c r="AH15" s="324"/>
      <c r="AI15" s="241"/>
      <c r="AJ15" s="239"/>
      <c r="AK15" s="243"/>
      <c r="AL15" s="243"/>
      <c r="AM15" s="242"/>
      <c r="AN15" s="266"/>
      <c r="AO15" s="284"/>
      <c r="AP15" s="244"/>
      <c r="AQ15" s="244"/>
      <c r="AR15" s="244"/>
      <c r="AS15" s="710"/>
      <c r="AT15" s="710"/>
      <c r="AU15" s="407"/>
      <c r="AV15" s="290"/>
      <c r="AW15" s="661"/>
      <c r="BT15" s="550"/>
    </row>
    <row r="16" spans="1:72" s="582" customFormat="1" ht="14.25">
      <c r="A16" s="749">
        <f>Datos!AO16</f>
        <v>14</v>
      </c>
      <c r="B16" s="750" t="s">
        <v>515</v>
      </c>
      <c r="C16" s="770" t="str">
        <f>Datos!A16</f>
        <v xml:space="preserve">Jdos. Instrucción                               </v>
      </c>
      <c r="D16" s="597"/>
      <c r="E16" s="752">
        <f>IF(ISNUMBER(Datos!AQ16),Datos!AQ16," - ")</f>
        <v>14</v>
      </c>
      <c r="F16" s="547">
        <f>IF(ISNUMBER(AA16+Y16-Datos!J16-K16),AA16+Y16-Datos!J16-K16," - ")</f>
        <v>6112</v>
      </c>
      <c r="G16" s="556">
        <f>IF(ISNUMBER(IF(D_I="SI",Datos!I16,Datos!I16+Datos!AC16)),IF(D_I="SI",Datos!I16,Datos!I16+Datos!AC16)," - ")</f>
        <v>5463</v>
      </c>
      <c r="H16" s="697"/>
      <c r="I16" s="697" t="str">
        <f>IF(ISNUMBER(Datos!DC16),Datos!DC16," - ")</f>
        <v xml:space="preserve"> - </v>
      </c>
      <c r="J16" s="240" t="str">
        <f>IF(ISNUMBER(Datos!DC16),Datos!DC16," - ")</f>
        <v xml:space="preserve"> - </v>
      </c>
      <c r="K16" s="567">
        <f>IF(ISNUMBER(Datos!DF16),Datos!DF16,0)</f>
        <v>0</v>
      </c>
      <c r="L16" s="567" t="str">
        <f>IF(ISNUMBER(Datos!EB16),Datos!EB16," - ")</f>
        <v xml:space="preserve"> - </v>
      </c>
      <c r="M16" s="567" t="str">
        <f>IF(ISNUMBER(Datos!EC16),Datos!EC16," - ")</f>
        <v xml:space="preserve"> - </v>
      </c>
      <c r="N16" s="697">
        <f>IF(ISNUMBER(Datos!P16),Datos!P16,0)</f>
        <v>1971</v>
      </c>
      <c r="O16" s="697" t="str">
        <f>IF(ISNUMBER(Datos!DE16),Datos!DE16," - ")</f>
        <v xml:space="preserve"> - </v>
      </c>
      <c r="P16" s="1494" t="str">
        <f>IF(ISNUMBER(Datos!EB16*factor_trimestre/Datos!EE16),Datos!EB16*factor_trimestre/Datos!EE16," - ")</f>
        <v xml:space="preserve"> - </v>
      </c>
      <c r="Q16" s="1494" t="str">
        <f>IF(ISNUMBER(Datos!EC16*factor_trimestre/Datos!EF16),Datos!EC16*factor_trimestre/Datos!EF16," - ")</f>
        <v xml:space="preserve"> - </v>
      </c>
      <c r="R16" s="567">
        <f>IF(ISNUMBER((Datos!AS16+Datos!AT16)),(Datos!AS16+Datos!AT16),0)</f>
        <v>0</v>
      </c>
      <c r="S16" s="552">
        <f>IF(ISNUMBER(R16/(Datos!BM16/factor_trimestre)),R16/(Datos!BM16/factor_trimestre)," - ")</f>
        <v>0</v>
      </c>
      <c r="T16" s="551" t="str">
        <f>IF(ISNUMBER(Datos!EO16),Datos!EO16," - ")</f>
        <v xml:space="preserve"> - </v>
      </c>
      <c r="U16" s="1327" t="e">
        <f>(T16/Datos!ER16)*factor_trimestre</f>
        <v>#VALUE!</v>
      </c>
      <c r="V16" s="567"/>
      <c r="W16" s="556">
        <f>IF(ISNUMBER(Datos!BY16+Datos!BZ16*1.16),Datos!BY16+Datos!BZ16*1.16," - ")</f>
        <v>0</v>
      </c>
      <c r="X16" s="766">
        <f>IF(ISNUMBER((W16*factor_trimestre)/DatosB!CN16),(W16*factor_trimestre)/DatosB!CN16,"-")</f>
        <v>0</v>
      </c>
      <c r="Y16" s="810">
        <f>IF(ISNUMBER(IF(D_I="SI",Datos!K16,Datos!K16+Datos!AE16)),IF(D_I="SI",Datos!K16,Datos!K16+Datos!AE16)," - ")</f>
        <v>71221</v>
      </c>
      <c r="Z16" s="810">
        <f>IF(ISNUMBER(Datos!Q16),Datos!Q16," - ")</f>
        <v>1980</v>
      </c>
      <c r="AA16" s="555">
        <f>IF(ISNUMBER(IF(D_I="SI",Datos!L16,Datos!L16+Datos!AF16)),IF(D_I="SI",Datos!L16,Datos!L16+Datos!AF16)," - ")</f>
        <v>5067</v>
      </c>
      <c r="AB16" s="553"/>
      <c r="AC16" s="553"/>
      <c r="AD16" s="567"/>
      <c r="AE16" s="567">
        <f>IF(ISNUMBER(Datos!R16),Datos!R16," - ")</f>
        <v>1106</v>
      </c>
      <c r="AF16" s="697" t="str">
        <f>IF(ISNUMBER(Datos!BV16),Datos!BV16," - ")</f>
        <v xml:space="preserve"> - </v>
      </c>
      <c r="AG16" s="556"/>
      <c r="AH16" s="557"/>
      <c r="AI16" s="558"/>
      <c r="AJ16" s="556">
        <f>IF(ISNUMBER(Datos!M16),Datos!M16," - ")</f>
        <v>5659</v>
      </c>
      <c r="AK16" s="697">
        <f>IF(ISNUMBER(Datos!N16),Datos!N16," - ")</f>
        <v>52679</v>
      </c>
      <c r="AL16" s="697" t="str">
        <f>IF(ISNUMBER(Datos!BW16),Datos!BW16," - ")</f>
        <v xml:space="preserve"> - </v>
      </c>
      <c r="AM16" s="767" t="str">
        <f>IF(ISNUMBER(Datos!BX16),Datos!BX16," - ")</f>
        <v xml:space="preserve"> - </v>
      </c>
      <c r="AN16" s="768"/>
      <c r="AO16" s="769">
        <f>IF(ISNUMBER(((NºAsuntos!I16/NºAsuntos!G16)*11)/factor_trimestre),((NºAsuntos!I16/NºAsuntos!G16)*11)/factor_trimestre," - ")</f>
        <v>0.78259221297089343</v>
      </c>
      <c r="AP16" s="559" t="str">
        <f>IF(ISNUMBER(Datos!CI16/Datos!CJ16),Datos!CI16/Datos!CJ16," - ")</f>
        <v xml:space="preserve"> - </v>
      </c>
      <c r="AQ16" s="559" t="str">
        <f>IF(ISNUMBER((J16-Y16+K16)/(F16)),(J16-Y16+K16)/(F16)," - ")</f>
        <v xml:space="preserve"> - </v>
      </c>
      <c r="AR16" s="559" t="str">
        <f>IF(ISNUMBER((Datos!P16-Datos!Q16+O16)/(Datos!R16-Datos!P16+Datos!Q16-O16)),(Datos!P16-Datos!Q16+O16)/(Datos!R16-Datos!P16+Datos!Q16-O16)," - ")</f>
        <v xml:space="preserve"> - </v>
      </c>
      <c r="AS16" s="721" t="str">
        <f>IF(ISNUMBER(Datos!CS16),Datos!CS16," - ")</f>
        <v xml:space="preserve"> - </v>
      </c>
      <c r="AT16" s="721" t="str">
        <f>IF(ISNUMBER(Datos!EI16),Datos!EI16," - ")</f>
        <v xml:space="preserve"> - </v>
      </c>
      <c r="AU16" s="721" t="str">
        <f>IF(ISNUMBER(Datos!CW16),Datos!CW16," - ")</f>
        <v xml:space="preserve"> - </v>
      </c>
      <c r="AV16" s="721">
        <f>Datos!CX16</f>
        <v>0</v>
      </c>
      <c r="AW16" s="568">
        <f>Datos!DU16</f>
        <v>0</v>
      </c>
      <c r="BT16" s="1382">
        <f>Datos!ER16/factor_trimestre</f>
        <v>3300</v>
      </c>
    </row>
    <row r="17" spans="1:72" s="582" customFormat="1" ht="14.25">
      <c r="A17" s="749">
        <f>Datos!AO17</f>
        <v>0</v>
      </c>
      <c r="B17" s="750" t="s">
        <v>515</v>
      </c>
      <c r="C17" s="770" t="str">
        <f>Datos!A17</f>
        <v xml:space="preserve">Jdos. 1ª Instª. e Instr.                        </v>
      </c>
      <c r="D17" s="597"/>
      <c r="E17" s="752">
        <f>IF(ISNUMBER(Datos!AQ17),Datos!AQ17," - ")</f>
        <v>0</v>
      </c>
      <c r="F17" s="547" t="str">
        <f>IF(ISNUMBER(AA17+Y17-Datos!J17-K16),AA17+Y17-Datos!J17-K16," - ")</f>
        <v xml:space="preserve"> - </v>
      </c>
      <c r="G17" s="556" t="str">
        <f>IF(ISNUMBER(IF(D_I="SI",Datos!I17,Datos!I17+Datos!AC17)),IF(D_I="SI",Datos!I17,Datos!I17+Datos!AC17)," - ")</f>
        <v xml:space="preserve"> - </v>
      </c>
      <c r="H17" s="697"/>
      <c r="I17" s="697" t="str">
        <f>IF(ISNUMBER(Datos!DC17),Datos!DC17," - ")</f>
        <v xml:space="preserve"> - </v>
      </c>
      <c r="J17" s="240" t="str">
        <f>IF(ISNUMBER(Datos!DC17),Datos!DC17," - ")</f>
        <v xml:space="preserve"> - </v>
      </c>
      <c r="K17" s="567">
        <f>IF(ISNUMBER(Datos!DF17),Datos!DF17,0)</f>
        <v>0</v>
      </c>
      <c r="L17" s="567"/>
      <c r="M17" s="567"/>
      <c r="N17" s="697">
        <f>IF(ISNUMBER(Datos!P17),Datos!P17,0)</f>
        <v>0</v>
      </c>
      <c r="O17" s="697" t="str">
        <f>IF(ISNUMBER(Datos!DE17),Datos!DE17," - ")</f>
        <v xml:space="preserve"> - </v>
      </c>
      <c r="P17" s="1494"/>
      <c r="Q17" s="1494"/>
      <c r="R17" s="567" t="str">
        <f>IF(ISNUMBER(Datos!AS17*(2500/380)+DatosP!AS17),Datos!AS17*(2500/380)+DatosP!AS17," - ")</f>
        <v xml:space="preserve"> - </v>
      </c>
      <c r="S17" s="552" t="str">
        <f>IF(ISNUMBER(R17/(Datos!BM17/factor_trimestre)),R17/(Datos!BM17/factor_trimestre)," - ")</f>
        <v xml:space="preserve"> - </v>
      </c>
      <c r="T17" s="551" t="str">
        <f>IF(ISNUMBER(Datos!EO17),Datos!EO17," - ")</f>
        <v xml:space="preserve"> - </v>
      </c>
      <c r="U17" s="1327" t="e">
        <f>(T17/Datos!ER17)*factor_trimestre</f>
        <v>#VALUE!</v>
      </c>
      <c r="V17" s="567"/>
      <c r="W17" s="556" t="str">
        <f>IF(ISNUMBER(Datos!BY17),Datos!BY17," - ")</f>
        <v xml:space="preserve"> - </v>
      </c>
      <c r="X17" s="766" t="str">
        <f>IF(ISNUMBER((W17*factor_trimestre)/DatosB!CN17),(W17*factor_trimestre)/DatosB!CN17,"-")</f>
        <v>-</v>
      </c>
      <c r="Y17" s="810" t="str">
        <f>IF(ISNUMBER(IF(D_I="SI",Datos!K17,Datos!K17+Datos!AE17)),IF(D_I="SI",Datos!K17,Datos!K17+Datos!AE17)," - ")</f>
        <v xml:space="preserve"> - </v>
      </c>
      <c r="Z17" s="810" t="str">
        <f>IF(ISNUMBER(Datos!Q17),Datos!Q17," - ")</f>
        <v xml:space="preserve"> - </v>
      </c>
      <c r="AA17" s="555" t="str">
        <f>IF(ISNUMBER(IF(D_I="SI",Datos!L17,Datos!L17+Datos!AF17)),IF(D_I="SI",Datos!L17,Datos!L17+Datos!AF17)," - ")</f>
        <v xml:space="preserve"> - </v>
      </c>
      <c r="AB17" s="553"/>
      <c r="AC17" s="553"/>
      <c r="AD17" s="567"/>
      <c r="AE17" s="567" t="str">
        <f>IF(ISNUMBER(Datos!R17),Datos!R17," - ")</f>
        <v xml:space="preserve"> - </v>
      </c>
      <c r="AF17" s="697" t="str">
        <f>IF(ISNUMBER(Datos!BV17),Datos!BV17," - ")</f>
        <v xml:space="preserve"> - </v>
      </c>
      <c r="AG17" s="556"/>
      <c r="AH17" s="557"/>
      <c r="AI17" s="558"/>
      <c r="AJ17" s="556" t="str">
        <f>IF(ISNUMBER(Datos!M17),Datos!M17," - ")</f>
        <v xml:space="preserve"> - </v>
      </c>
      <c r="AK17" s="697" t="str">
        <f>IF(ISNUMBER(Datos!N17),Datos!N17," - ")</f>
        <v xml:space="preserve"> - </v>
      </c>
      <c r="AL17" s="697" t="str">
        <f>IF(ISNUMBER(Datos!BW17),Datos!BW17," - ")</f>
        <v xml:space="preserve"> - </v>
      </c>
      <c r="AM17" s="767" t="str">
        <f>IF(ISNUMBER(Datos!BX17),Datos!BX17," - ")</f>
        <v xml:space="preserve"> - </v>
      </c>
      <c r="AN17" s="768"/>
      <c r="AO17" s="769" t="str">
        <f>IF(ISNUMBER(((NºAsuntos!I17/NºAsuntos!G17)*11)/factor_trimestre),((NºAsuntos!I17/NºAsuntos!G17)*11)/factor_trimestre," - ")</f>
        <v xml:space="preserve"> - </v>
      </c>
      <c r="AP17" s="559" t="str">
        <f>IF(ISNUMBER(Datos!CI17/Datos!CJ17),Datos!CI17/Datos!CJ17," - ")</f>
        <v xml:space="preserve"> - </v>
      </c>
      <c r="AQ17" s="559" t="str">
        <f>IF(ISNUMBER((J17-Y17+K17)/(F17)),(J17-Y17+K17)/(F17)," - ")</f>
        <v xml:space="preserve"> - </v>
      </c>
      <c r="AR17" s="559" t="str">
        <f>IF(ISNUMBER((Datos!P17-Datos!Q17+O17)/(Datos!R17-Datos!P17+Datos!Q17-O17)),(Datos!P17-Datos!Q17+O17)/(Datos!R17-Datos!P17+Datos!Q17-O17)," - ")</f>
        <v xml:space="preserve"> - </v>
      </c>
      <c r="AS17" s="721" t="str">
        <f>IF(ISNUMBER(Datos!CS17),Datos!CS17," - ")</f>
        <v xml:space="preserve"> - </v>
      </c>
      <c r="AT17" s="721" t="str">
        <f>IF(ISNUMBER(Datos!EI17),Datos!EI17," - ")</f>
        <v xml:space="preserve"> - </v>
      </c>
      <c r="AU17" s="721" t="str">
        <f>IF(ISNUMBER(Datos!CW17),Datos!CW17," - ")</f>
        <v xml:space="preserve"> - </v>
      </c>
      <c r="AV17" s="721">
        <f>Datos!CX17</f>
        <v>0</v>
      </c>
      <c r="AW17" s="568">
        <f>Datos!DU17</f>
        <v>0</v>
      </c>
      <c r="BT17" s="1382">
        <f>Datos!ER17/factor_trimestre</f>
        <v>1000</v>
      </c>
    </row>
    <row r="18" spans="1:72" s="582" customFormat="1" ht="14.25">
      <c r="A18" s="749">
        <f>Datos!AO18</f>
        <v>3</v>
      </c>
      <c r="B18" s="750" t="s">
        <v>515</v>
      </c>
      <c r="C18" s="751" t="str">
        <f>Datos!A18</f>
        <v>Jdos. Violencia contra la mujer</v>
      </c>
      <c r="D18" s="605"/>
      <c r="E18" s="752">
        <f>IF(ISNUMBER(Datos!AQ18),Datos!AQ18," - ")</f>
        <v>3</v>
      </c>
      <c r="F18" s="556" t="str">
        <f>IF(ISNUMBER(AA18+Y18-I18-K18),AA18+Y18-I18-K18," - ")</f>
        <v xml:space="preserve"> - </v>
      </c>
      <c r="G18" s="847">
        <f>IF(ISNUMBER(IF(D_I="SI",Datos!I18,Datos!I18+Datos!AC18)),IF(D_I="SI",Datos!I18,Datos!I18+Datos!AC18)," - ")</f>
        <v>726</v>
      </c>
      <c r="H18" s="697"/>
      <c r="I18" s="556" t="str">
        <f>IF(ISNUMBER(Datos!DB18),Datos!DB18," - ")</f>
        <v xml:space="preserve"> - </v>
      </c>
      <c r="J18" s="240" t="str">
        <f>IF(ISNUMBER(Datos!DC18),Datos!DC18," - ")</f>
        <v xml:space="preserve"> - </v>
      </c>
      <c r="K18" s="567">
        <f>IF(ISNUMBER(Datos!DF18),Datos!DF18,0)</f>
        <v>0</v>
      </c>
      <c r="L18" s="567" t="str">
        <f>IF(ISNUMBER(Datos!EB18),Datos!EB18," - ")</f>
        <v xml:space="preserve"> - </v>
      </c>
      <c r="M18" s="567" t="str">
        <f>IF(ISNUMBER(Datos!EC18),Datos!EC18," - ")</f>
        <v xml:space="preserve"> - </v>
      </c>
      <c r="N18" s="697">
        <f>IF(ISNUMBER(Datos!P18),Datos!P18,0)</f>
        <v>35</v>
      </c>
      <c r="O18" s="697" t="str">
        <f>IF(ISNUMBER(Datos!DE18),Datos!DE18," - ")</f>
        <v xml:space="preserve"> - </v>
      </c>
      <c r="P18" s="1494" t="str">
        <f>IF(ISNUMBER(Datos!EB18*factor_trimestre/Datos!EE18),Datos!EB18*factor_trimestre/Datos!EE18," - ")</f>
        <v xml:space="preserve"> - </v>
      </c>
      <c r="Q18" s="1494" t="str">
        <f>IF(ISNUMBER(Datos!EC18*factor_trimestre/Datos!EF18),Datos!EC18*factor_trimestre/Datos!EF18," - ")</f>
        <v xml:space="preserve"> - </v>
      </c>
      <c r="R18" s="567" t="str">
        <f>IF(ISNUMBER((Datos!AS18+Datos!AT18)),(Datos!AS18+Datos!AT18)," - ")</f>
        <v xml:space="preserve"> - </v>
      </c>
      <c r="S18" s="552" t="str">
        <f>IF(ISNUMBER(R18/(Datos!BM18/factor_trimestre)),R18/(Datos!BM18/factor_trimestre)," - ")</f>
        <v xml:space="preserve"> - </v>
      </c>
      <c r="T18" s="551" t="str">
        <f>IF(ISNUMBER(Datos!EO18),Datos!EO18," - ")</f>
        <v xml:space="preserve"> - </v>
      </c>
      <c r="U18" s="1327" t="e">
        <f>(T18/Datos!ER18)*factor_trimestre</f>
        <v>#VALUE!</v>
      </c>
      <c r="V18" s="567"/>
      <c r="W18" s="556" t="str">
        <f>IF(ISNUMBER(Datos!BY18+Datos!BZ18),Datos!BY18+Datos!BZ18," - ")</f>
        <v xml:space="preserve"> - </v>
      </c>
      <c r="X18" s="766" t="str">
        <f>IF(ISNUMBER((W18*factor_trimestre)/DatosB!CN18),(W18*factor_trimestre)/DatosB!CN18,"-")</f>
        <v>-</v>
      </c>
      <c r="Y18" s="810">
        <f>IF(ISNUMBER(IF(D_I="SI",Datos!K18,Datos!K18+Datos!AE18)),IF(D_I="SI",Datos!K18,Datos!K18+Datos!AE18)," - ")</f>
        <v>5190</v>
      </c>
      <c r="Z18" s="810">
        <f>IF(ISNUMBER(Datos!Q18),Datos!Q18," - ")</f>
        <v>27</v>
      </c>
      <c r="AA18" s="555">
        <f>IF(ISNUMBER(Datos!L18),Datos!L18,"-")</f>
        <v>632</v>
      </c>
      <c r="AB18" s="553"/>
      <c r="AC18" s="553"/>
      <c r="AD18" s="567"/>
      <c r="AE18" s="567">
        <f>IF(ISNUMBER(Datos!R18),Datos!R18," - ")</f>
        <v>29</v>
      </c>
      <c r="AF18" s="697" t="str">
        <f>IF(ISNUMBER(Datos!BV18),Datos!BV18," - ")</f>
        <v xml:space="preserve"> - </v>
      </c>
      <c r="AG18" s="556" t="str">
        <f>IF(ISNUMBER(Datos!DV18),Datos!DV18," - ")</f>
        <v xml:space="preserve"> - </v>
      </c>
      <c r="AH18" s="557"/>
      <c r="AI18" s="558"/>
      <c r="AJ18" s="556">
        <f>IF(ISNUMBER(Datos!M18),Datos!M18," - ")</f>
        <v>251</v>
      </c>
      <c r="AK18" s="697">
        <f>IF(ISNUMBER(Datos!N18),Datos!N18," - ")</f>
        <v>2856</v>
      </c>
      <c r="AL18" s="697" t="str">
        <f>IF(ISNUMBER(Datos!BW18),Datos!BW18," - ")</f>
        <v xml:space="preserve"> - </v>
      </c>
      <c r="AM18" s="767" t="str">
        <f>IF(ISNUMBER(Datos!BX18),Datos!BX18," - ")</f>
        <v xml:space="preserve"> - </v>
      </c>
      <c r="AN18" s="768"/>
      <c r="AO18" s="769">
        <f>IF(ISNUMBER(((NºAsuntos!I18/NºAsuntos!G18)*11)/factor_trimestre),((NºAsuntos!I18/NºAsuntos!G18)*11)/factor_trimestre," - ")</f>
        <v>1.3394990366088633</v>
      </c>
      <c r="AP18" s="559" t="str">
        <f>IF(ISNUMBER(Datos!CI18/Datos!CJ18),Datos!CI18/Datos!CJ18," - ")</f>
        <v xml:space="preserve"> - </v>
      </c>
      <c r="AQ18" s="559" t="str">
        <f>IF(ISNUMBER((I18-Y18+K18)/(F18)),(I18-Y18+K18)/(F18)," - ")</f>
        <v xml:space="preserve"> - </v>
      </c>
      <c r="AR18" s="559" t="str">
        <f>IF(ISNUMBER((Datos!P18-Datos!Q18+O18)/(Datos!R18-Datos!P18+Datos!Q18-O18)),(Datos!P18-Datos!Q18+O18)/(Datos!R18-Datos!P18+Datos!Q18-O18)," - ")</f>
        <v xml:space="preserve"> - </v>
      </c>
      <c r="AS18" s="721" t="str">
        <f>IF(ISNUMBER(Datos!CS18),Datos!CS18," - ")</f>
        <v xml:space="preserve"> - </v>
      </c>
      <c r="AT18" s="721" t="str">
        <f>IF(ISNUMBER(Datos!EI18),Datos!EI18," - ")</f>
        <v xml:space="preserve"> - </v>
      </c>
      <c r="AU18" s="721" t="str">
        <f>IF(ISNUMBER(Datos!CW18),Datos!CW18," - ")</f>
        <v xml:space="preserve"> - </v>
      </c>
      <c r="AV18" s="721">
        <f>Datos!CX18</f>
        <v>0</v>
      </c>
      <c r="AW18" s="568">
        <f>Datos!DU18</f>
        <v>0</v>
      </c>
      <c r="BT18" s="1382">
        <f>Datos!ER18/factor_trimestre</f>
        <v>1600</v>
      </c>
    </row>
    <row r="19" spans="1:72" s="582" customFormat="1" ht="14.25">
      <c r="A19" s="749">
        <f>Datos!AO19</f>
        <v>0</v>
      </c>
      <c r="B19" s="750" t="s">
        <v>515</v>
      </c>
      <c r="C19" s="751" t="str">
        <f>Datos!A19</f>
        <v xml:space="preserve">Jdos. de Menores                                </v>
      </c>
      <c r="D19" s="605"/>
      <c r="E19" s="752"/>
      <c r="F19" s="556"/>
      <c r="G19" s="556"/>
      <c r="H19" s="697"/>
      <c r="I19" s="556"/>
      <c r="J19" s="551" t="str">
        <f>IF(ISNUMBER(Datos!DC19),Datos!DC19," - ")</f>
        <v xml:space="preserve"> - </v>
      </c>
      <c r="K19" s="567">
        <f>IF(ISNUMBER(Datos!DF19),Datos!DF19,0)</f>
        <v>0</v>
      </c>
      <c r="L19" s="567"/>
      <c r="M19" s="567"/>
      <c r="N19" s="697"/>
      <c r="O19" s="697"/>
      <c r="P19" s="1494"/>
      <c r="Q19" s="1494"/>
      <c r="R19" s="567">
        <f>IF(ISNUMBER(Datos!AS19),Datos!AS19,0)</f>
        <v>0</v>
      </c>
      <c r="S19" s="552"/>
      <c r="T19" s="551" t="str">
        <f>IF(ISNUMBER(Datos!EO19),Datos!EO19," - ")</f>
        <v xml:space="preserve"> - </v>
      </c>
      <c r="U19" s="1327" t="e">
        <f>(T19/Datos!ER19)*factor_trimestre</f>
        <v>#VALUE!</v>
      </c>
      <c r="V19" s="567"/>
      <c r="W19" s="556"/>
      <c r="X19" s="766"/>
      <c r="Y19" s="810"/>
      <c r="Z19" s="810"/>
      <c r="AA19" s="555"/>
      <c r="AB19" s="553"/>
      <c r="AC19" s="553"/>
      <c r="AD19" s="567"/>
      <c r="AE19" s="567"/>
      <c r="AF19" s="697"/>
      <c r="AG19" s="556"/>
      <c r="AH19" s="557"/>
      <c r="AI19" s="558"/>
      <c r="AJ19" s="556"/>
      <c r="AK19" s="697"/>
      <c r="AL19" s="697"/>
      <c r="AM19" s="767"/>
      <c r="AN19" s="768"/>
      <c r="AO19" s="769"/>
      <c r="AP19" s="559"/>
      <c r="AQ19" s="559"/>
      <c r="AR19" s="559" t="str">
        <f>IF(ISNUMBER((Datos!P19-Datos!Q19+O19)/(Datos!R19-Datos!P19+Datos!Q19-O19)),(Datos!P19-Datos!Q19+O19)/(Datos!R19-Datos!P19+Datos!Q19-O19)," - ")</f>
        <v xml:space="preserve"> - </v>
      </c>
      <c r="AS19" s="753"/>
      <c r="AT19" s="721" t="str">
        <f>IF(ISNUMBER(Datos!EI19),Datos!EI19," - ")</f>
        <v xml:space="preserve"> - </v>
      </c>
      <c r="AU19" s="721"/>
      <c r="AV19" s="721"/>
      <c r="AW19" s="568"/>
      <c r="BT19" s="1382">
        <f>Datos!ER19/factor_trimestre</f>
        <v>875</v>
      </c>
    </row>
    <row r="20" spans="1:72" s="582" customFormat="1" ht="14.25">
      <c r="A20" s="749">
        <f>Datos!AO20</f>
        <v>0</v>
      </c>
      <c r="B20" s="750" t="s">
        <v>515</v>
      </c>
      <c r="C20" s="751" t="str">
        <f>Datos!A20</f>
        <v xml:space="preserve">Jdos. Vigilancia Penitenciaria                  </v>
      </c>
      <c r="D20" s="605"/>
      <c r="E20" s="752"/>
      <c r="F20" s="556"/>
      <c r="G20" s="556"/>
      <c r="H20" s="697"/>
      <c r="I20" s="556"/>
      <c r="J20" s="551" t="str">
        <f>IF(ISNUMBER(Datos!DC20),Datos!DC20," - ")</f>
        <v xml:space="preserve"> - </v>
      </c>
      <c r="K20" s="567">
        <f>IF(ISNUMBER(Datos!DF20),Datos!DF20,0)</f>
        <v>0</v>
      </c>
      <c r="L20" s="567"/>
      <c r="M20" s="567"/>
      <c r="N20" s="697"/>
      <c r="O20" s="697"/>
      <c r="P20" s="1494"/>
      <c r="Q20" s="1494"/>
      <c r="R20" s="567" t="str">
        <f>IF(ISNUMBER(Datos!AS20/((TrimFin-TrimIni+1))),(Datos!AS20/((TrimFin-TrimIni+1)))," - ")</f>
        <v xml:space="preserve"> - </v>
      </c>
      <c r="S20" s="552"/>
      <c r="T20" s="551" t="str">
        <f>IF(ISNUMBER(Datos!EO20),Datos!EO20," - ")</f>
        <v xml:space="preserve"> - </v>
      </c>
      <c r="U20" s="1327" t="e">
        <f>(T20/Datos!ER20)*factor_trimestre</f>
        <v>#VALUE!</v>
      </c>
      <c r="V20" s="567"/>
      <c r="W20" s="556"/>
      <c r="X20" s="766"/>
      <c r="Y20" s="810"/>
      <c r="Z20" s="810"/>
      <c r="AA20" s="555"/>
      <c r="AB20" s="553"/>
      <c r="AC20" s="553"/>
      <c r="AD20" s="567"/>
      <c r="AE20" s="567"/>
      <c r="AF20" s="697"/>
      <c r="AG20" s="556"/>
      <c r="AH20" s="557"/>
      <c r="AI20" s="558"/>
      <c r="AJ20" s="556"/>
      <c r="AK20" s="697"/>
      <c r="AL20" s="697"/>
      <c r="AM20" s="767"/>
      <c r="AN20" s="768"/>
      <c r="AO20" s="769"/>
      <c r="AP20" s="559"/>
      <c r="AQ20" s="559"/>
      <c r="AR20" s="559" t="str">
        <f>IF(ISNUMBER((Datos!P20-Datos!Q20+O20)/(Datos!R20-Datos!P20+Datos!Q20-O20)),(Datos!P20-Datos!Q20+O20)/(Datos!R20-Datos!P20+Datos!Q20-O20)," - ")</f>
        <v xml:space="preserve"> - </v>
      </c>
      <c r="AS20" s="753"/>
      <c r="AT20" s="721" t="str">
        <f>IF(ISNUMBER(Datos!EI20),Datos!EI20," - ")</f>
        <v xml:space="preserve"> - </v>
      </c>
      <c r="AU20" s="721"/>
      <c r="AV20" s="721"/>
      <c r="AW20" s="568"/>
      <c r="BT20" s="1382">
        <f>Datos!ER20/factor_trimestre</f>
        <v>5240</v>
      </c>
    </row>
    <row r="21" spans="1:72" s="582" customFormat="1" ht="14.25">
      <c r="A21" s="749">
        <f>Datos!AO21</f>
        <v>0</v>
      </c>
      <c r="B21" s="750" t="s">
        <v>515</v>
      </c>
      <c r="C21" s="751" t="str">
        <f>Datos!A21</f>
        <v xml:space="preserve">Jdos. de lo Penal                               </v>
      </c>
      <c r="D21" s="605"/>
      <c r="E21" s="752">
        <f>IF(ISNUMBER(Datos!AQ21),Datos!AQ21," - ")</f>
        <v>0</v>
      </c>
      <c r="F21" s="556" t="str">
        <f>IF(ISNUMBER(Datos!L21+Datos!K21-Datos!J21),Datos!L21+Datos!K21-Datos!J21," - ")</f>
        <v xml:space="preserve"> - </v>
      </c>
      <c r="G21" s="556" t="str">
        <f>IF(ISNUMBER(Datos!I21),Datos!I21," - ")</f>
        <v xml:space="preserve"> - </v>
      </c>
      <c r="H21" s="697" t="str">
        <f>IF(ISNUMBER(Datos!ED21),Datos!ED21," - ")</f>
        <v xml:space="preserve"> - </v>
      </c>
      <c r="I21" s="556" t="str">
        <f>IF(ISNUMBER(Datos!DB21),Datos!DB21," - ")</f>
        <v xml:space="preserve"> - </v>
      </c>
      <c r="J21" s="551">
        <f>IF(ISNUMBER(Datos!DC21),Datos!DC21,0)</f>
        <v>0</v>
      </c>
      <c r="K21" s="567">
        <f>IF(ISNUMBER(Datos!DF21),Datos!DF21,0)</f>
        <v>0</v>
      </c>
      <c r="L21" s="567"/>
      <c r="M21" s="567"/>
      <c r="N21" s="697">
        <f>IF(ISNUMBER(Datos!P21),Datos!P21,0)</f>
        <v>0</v>
      </c>
      <c r="O21" s="697" t="str">
        <f>IF(ISNUMBER(Datos!DE21),Datos!DE21," - ")</f>
        <v xml:space="preserve"> - </v>
      </c>
      <c r="P21" s="1494"/>
      <c r="Q21" s="1494"/>
      <c r="R21" s="567">
        <f>IF(ISNUMBER(Datos!AS21),Datos!AS21,0)</f>
        <v>0</v>
      </c>
      <c r="S21" s="552">
        <f>IF(ISNUMBER(R21/(Datos!BM21/factor_trimestre)),R21/(Datos!BM21/factor_trimestre)," - ")</f>
        <v>0</v>
      </c>
      <c r="T21" s="551" t="str">
        <f>IF(ISNUMBER(Datos!EO21),Datos!EO21," - ")</f>
        <v xml:space="preserve"> - </v>
      </c>
      <c r="U21" s="1327" t="e">
        <f>(T21/Datos!ER21)*factor_trimestre</f>
        <v>#VALUE!</v>
      </c>
      <c r="V21" s="567"/>
      <c r="W21" s="556" t="str">
        <f>IF(ISNUMBER(Datos!BY21),Datos!BY21," - ")</f>
        <v xml:space="preserve"> - </v>
      </c>
      <c r="X21" s="766" t="str">
        <f>IF(ISNUMBER((W21*factor_trimestre)/DatosB!CN21),(W21*factor_trimestre)/DatosB!CN21,"-")</f>
        <v>-</v>
      </c>
      <c r="Y21" s="810" t="str">
        <f>IF(ISNUMBER(Datos!K21),Datos!K21," - ")</f>
        <v xml:space="preserve"> - </v>
      </c>
      <c r="Z21" s="810" t="str">
        <f>IF(ISNUMBER(Datos!Q21),Datos!Q21," - ")</f>
        <v xml:space="preserve"> - </v>
      </c>
      <c r="AA21" s="555" t="str">
        <f>IF(ISNUMBER(Datos!L21),Datos!L21,"-")</f>
        <v>-</v>
      </c>
      <c r="AB21" s="553"/>
      <c r="AC21" s="553"/>
      <c r="AD21" s="567"/>
      <c r="AE21" s="567" t="str">
        <f>IF(ISNUMBER(Datos!R21),Datos!R21," - ")</f>
        <v xml:space="preserve"> - </v>
      </c>
      <c r="AF21" s="697" t="str">
        <f>IF(ISNUMBER(Datos!BV21),Datos!BV21," - ")</f>
        <v xml:space="preserve"> - </v>
      </c>
      <c r="AG21" s="556"/>
      <c r="AH21" s="557"/>
      <c r="AI21" s="558"/>
      <c r="AJ21" s="556" t="str">
        <f>IF(ISNUMBER(Datos!M21),Datos!M21," - ")</f>
        <v xml:space="preserve"> - </v>
      </c>
      <c r="AK21" s="697"/>
      <c r="AL21" s="697" t="str">
        <f>IF(ISNUMBER(Datos!BW21),Datos!BW21," - ")</f>
        <v xml:space="preserve"> - </v>
      </c>
      <c r="AM21" s="767" t="str">
        <f>IF(ISNUMBER(Datos!BX21),Datos!BX21," - ")</f>
        <v xml:space="preserve"> - </v>
      </c>
      <c r="AN21" s="768"/>
      <c r="AO21" s="769" t="str">
        <f>IF(ISNUMBER(((NºAsuntos!I21/NºAsuntos!G21)*11)/factor_trimestre),((NºAsuntos!I21/NºAsuntos!G21)*11)/factor_trimestre," - ")</f>
        <v xml:space="preserve"> - </v>
      </c>
      <c r="AP21" s="559" t="str">
        <f>IF(ISNUMBER(Datos!CI21/Datos!CJ21),Datos!CI21/Datos!CJ21," - ")</f>
        <v xml:space="preserve"> - </v>
      </c>
      <c r="AQ21" s="559" t="str">
        <f>IF(ISNUMBER((I21-Y21+K21)/(F21)),(I21-Y21+K21)/(F21)," - ")</f>
        <v xml:space="preserve"> - </v>
      </c>
      <c r="AR21" s="559" t="str">
        <f>IF(ISNUMBER((Datos!P21-Datos!Q21+O21)/(Datos!R21-Datos!P21+Datos!Q21-O21)),(Datos!P21-Datos!Q21+O21)/(Datos!R21-Datos!P21+Datos!Q21-O21)," - ")</f>
        <v xml:space="preserve"> - </v>
      </c>
      <c r="AS21" s="753"/>
      <c r="AT21" s="721" t="str">
        <f>IF(ISNUMBER(Datos!EI21),Datos!EI21," - ")</f>
        <v xml:space="preserve"> - </v>
      </c>
      <c r="AU21" s="721" t="str">
        <f>IF(ISNUMBER(Datos!CW21),Datos!CW21," - ")</f>
        <v xml:space="preserve"> - </v>
      </c>
      <c r="AV21" s="721">
        <f>Datos!CX21</f>
        <v>0</v>
      </c>
      <c r="AW21" s="568">
        <f>Datos!DU21</f>
        <v>0</v>
      </c>
      <c r="BT21" s="1382">
        <f>400/factor_trimestre</f>
        <v>400</v>
      </c>
    </row>
    <row r="22" spans="1:72" s="582" customFormat="1" ht="15" thickBot="1">
      <c r="A22" s="749">
        <f>Datos!AO22</f>
        <v>0</v>
      </c>
      <c r="B22" s="750" t="s">
        <v>515</v>
      </c>
      <c r="C22" s="751" t="str">
        <f>Datos!A22</f>
        <v xml:space="preserve">Jdos. de lo Penal de Ejecutorias                </v>
      </c>
      <c r="D22" s="605"/>
      <c r="E22" s="752">
        <f>IF(ISNUMBER(Datos!AQ22),Datos!AQ22," - ")</f>
        <v>0</v>
      </c>
      <c r="F22" s="556" t="str">
        <f>IF(ISNUMBER(Datos!L22+Datos!K22-Datos!J22),Datos!L22+Datos!K22-Datos!J22," - ")</f>
        <v xml:space="preserve"> - </v>
      </c>
      <c r="G22" s="556" t="str">
        <f>IF(ISNUMBER(Datos!I22),Datos!I22," - ")</f>
        <v xml:space="preserve"> - </v>
      </c>
      <c r="H22" s="697"/>
      <c r="I22" s="556" t="str">
        <f>IF(ISNUMBER(Datos!DB22),Datos!DB22," - ")</f>
        <v xml:space="preserve"> - </v>
      </c>
      <c r="J22" s="551" t="str">
        <f>IF(ISNUMBER(Datos!DC22),Datos!DC22," - ")</f>
        <v xml:space="preserve"> - </v>
      </c>
      <c r="K22" s="567">
        <f>IF(ISNUMBER(Datos!DF22),Datos!DF22,0)</f>
        <v>0</v>
      </c>
      <c r="L22" s="567"/>
      <c r="M22" s="567"/>
      <c r="N22" s="697">
        <f>IF(ISNUMBER(Datos!P22),Datos!P22,0)</f>
        <v>0</v>
      </c>
      <c r="O22" s="697" t="str">
        <f>IF(ISNUMBER(Datos!DE22),Datos!DE22," - ")</f>
        <v xml:space="preserve"> - </v>
      </c>
      <c r="P22" s="1494"/>
      <c r="Q22" s="1494"/>
      <c r="R22" s="567">
        <f>IF(ISNUMBER(Datos!AS22),Datos!AS22,0)</f>
        <v>0</v>
      </c>
      <c r="S22" s="552">
        <f>IF(ISNUMBER(R22/(Datos!BM22/factor_trimestre)),R22/(Datos!BM22/factor_trimestre)," - ")</f>
        <v>0</v>
      </c>
      <c r="T22" s="551" t="str">
        <f>IF(ISNUMBER(Datos!EO22),Datos!EO22," - ")</f>
        <v xml:space="preserve"> - </v>
      </c>
      <c r="U22" s="1327" t="e">
        <f>(T22/Datos!ER22)*factor_trimestre</f>
        <v>#VALUE!</v>
      </c>
      <c r="V22" s="567"/>
      <c r="W22" s="556" t="str">
        <f>IF(ISNUMBER(Datos!BY22),Datos!BY22," - ")</f>
        <v xml:space="preserve"> - </v>
      </c>
      <c r="X22" s="766" t="str">
        <f>IF(ISNUMBER((W22*factor_trimestre)/DatosB!CN22),(W22*factor_trimestre)/DatosB!CN22,"-")</f>
        <v>-</v>
      </c>
      <c r="Y22" s="810" t="str">
        <f>IF(ISNUMBER(Datos!K22),Datos!K22," - ")</f>
        <v xml:space="preserve"> - </v>
      </c>
      <c r="Z22" s="810" t="str">
        <f>IF(ISNUMBER(Datos!Q22),Datos!Q22," - ")</f>
        <v xml:space="preserve"> - </v>
      </c>
      <c r="AA22" s="555" t="str">
        <f>IF(ISNUMBER(Datos!L22),Datos!L22,"-")</f>
        <v>-</v>
      </c>
      <c r="AB22" s="553"/>
      <c r="AC22" s="553"/>
      <c r="AD22" s="567"/>
      <c r="AE22" s="567" t="str">
        <f>IF(ISNUMBER(Datos!R22),Datos!R22," - ")</f>
        <v xml:space="preserve"> - </v>
      </c>
      <c r="AF22" s="697" t="str">
        <f>IF(ISNUMBER(Datos!BV22),Datos!BV22," - ")</f>
        <v xml:space="preserve"> - </v>
      </c>
      <c r="AG22" s="556" t="str">
        <f>IF(ISNUMBER(Datos!DV22),Datos!DV22," - ")</f>
        <v xml:space="preserve"> - </v>
      </c>
      <c r="AH22" s="557"/>
      <c r="AI22" s="558"/>
      <c r="AJ22" s="556" t="str">
        <f>IF(ISNUMBER(Datos!M22),Datos!M22," - ")</f>
        <v xml:space="preserve"> - </v>
      </c>
      <c r="AK22" s="697" t="str">
        <f>IF(ISNUMBER(Datos!N22),Datos!N22," - ")</f>
        <v xml:space="preserve"> - </v>
      </c>
      <c r="AL22" s="697" t="str">
        <f>IF(ISNUMBER(Datos!BW22),Datos!BW22," - ")</f>
        <v xml:space="preserve"> - </v>
      </c>
      <c r="AM22" s="767" t="str">
        <f>IF(ISNUMBER(Datos!BX22),Datos!BX22," - ")</f>
        <v xml:space="preserve"> - </v>
      </c>
      <c r="AN22" s="768"/>
      <c r="AO22" s="769"/>
      <c r="AP22" s="559" t="str">
        <f>IF(ISNUMBER(Datos!CI22/Datos!CJ22),Datos!CI22/Datos!CJ22," - ")</f>
        <v xml:space="preserve"> - </v>
      </c>
      <c r="AQ22" s="559" t="str">
        <f>IF(ISNUMBER((I22-Y22+K22)/(F22)),(I22-Y22+K22)/(F22)," - ")</f>
        <v xml:space="preserve"> - </v>
      </c>
      <c r="AR22" s="559" t="str">
        <f>IF(ISNUMBER((Datos!P22-Datos!Q22+O22)/(Datos!R22-Datos!P22+Datos!Q22-O22)),(Datos!P22-Datos!Q22+O22)/(Datos!R22-Datos!P22+Datos!Q22-O22)," - ")</f>
        <v xml:space="preserve"> - </v>
      </c>
      <c r="AS22" s="753"/>
      <c r="AT22" s="721" t="str">
        <f>IF(ISNUMBER(Datos!EI22),Datos!EI22," - ")</f>
        <v xml:space="preserve"> - </v>
      </c>
      <c r="AU22" s="721" t="str">
        <f>IF(ISNUMBER(Datos!CW22),Datos!CW22," - ")</f>
        <v xml:space="preserve"> - </v>
      </c>
      <c r="AV22" s="721">
        <f>Datos!CX22</f>
        <v>0</v>
      </c>
      <c r="AW22" s="568">
        <f>Datos!DU22</f>
        <v>0</v>
      </c>
      <c r="BT22" s="1382">
        <f>Datos!ER22/factor_trimestre</f>
        <v>2400</v>
      </c>
    </row>
    <row r="23" spans="1:72" ht="15.75" thickTop="1" thickBot="1">
      <c r="A23" s="191"/>
      <c r="B23" s="191"/>
      <c r="C23" s="1163" t="str">
        <f>Datos!A23</f>
        <v>TOTAL</v>
      </c>
      <c r="D23" s="1163"/>
      <c r="E23" s="1244">
        <f>SUBTOTAL(9,E16:E22)</f>
        <v>17</v>
      </c>
      <c r="F23" s="1200">
        <f>SUBTOTAL(9,F16:F22)</f>
        <v>6112</v>
      </c>
      <c r="G23" s="1200">
        <f>SUBTOTAL(9,G16:G22)</f>
        <v>6189</v>
      </c>
      <c r="H23" s="1245">
        <f>SUBTOTAL(9,H16:H22)</f>
        <v>0</v>
      </c>
      <c r="I23" s="1220">
        <f>SUBTOTAL(9,I16:I22)</f>
        <v>0</v>
      </c>
      <c r="J23" s="1167">
        <f>SUBTOTAL(9,J15:J22)</f>
        <v>0</v>
      </c>
      <c r="K23" s="1245">
        <f t="shared" ref="K23:S23" si="4">SUBTOTAL(9,K16:K22)</f>
        <v>0</v>
      </c>
      <c r="L23" s="1245">
        <f t="shared" si="4"/>
        <v>0</v>
      </c>
      <c r="M23" s="1245">
        <f t="shared" si="4"/>
        <v>0</v>
      </c>
      <c r="N23" s="1245">
        <f t="shared" si="4"/>
        <v>2006</v>
      </c>
      <c r="O23" s="1245">
        <f t="shared" si="4"/>
        <v>0</v>
      </c>
      <c r="P23" s="1497">
        <f t="shared" si="4"/>
        <v>0</v>
      </c>
      <c r="Q23" s="1497">
        <f t="shared" si="4"/>
        <v>0</v>
      </c>
      <c r="R23" s="1245">
        <f t="shared" si="4"/>
        <v>0</v>
      </c>
      <c r="S23" s="1497">
        <f t="shared" si="4"/>
        <v>0</v>
      </c>
      <c r="T23" s="1164">
        <f>SUBTOTAL(9,T15:T22)</f>
        <v>0</v>
      </c>
      <c r="U23" s="1330" t="e">
        <f>SUBTOTAL(9,U15:U22)</f>
        <v>#VALUE!</v>
      </c>
      <c r="V23" s="1246">
        <f>SUBTOTAL(9,V16:V22)</f>
        <v>0</v>
      </c>
      <c r="W23" s="1245">
        <f>SUBTOTAL(9,W16:W22)</f>
        <v>0</v>
      </c>
      <c r="X23" s="1241" t="str">
        <f>IF(ISNUMBER((W23*factor_trimestre)/Datos!CN23),(W23*factor_trimestre)/Datos!CN23,"-")</f>
        <v>-</v>
      </c>
      <c r="Y23" s="1245">
        <f t="shared" ref="Y23:AN23" si="5">SUBTOTAL(9,Y16:Y22)</f>
        <v>76411</v>
      </c>
      <c r="Z23" s="1245">
        <f t="shared" si="5"/>
        <v>2007</v>
      </c>
      <c r="AA23" s="1245">
        <f t="shared" si="5"/>
        <v>5699</v>
      </c>
      <c r="AB23" s="1245">
        <f t="shared" si="5"/>
        <v>0</v>
      </c>
      <c r="AC23" s="1245">
        <f t="shared" si="5"/>
        <v>0</v>
      </c>
      <c r="AD23" s="1245">
        <f t="shared" si="5"/>
        <v>0</v>
      </c>
      <c r="AE23" s="1245">
        <f t="shared" si="5"/>
        <v>1135</v>
      </c>
      <c r="AF23" s="1245">
        <f t="shared" si="5"/>
        <v>0</v>
      </c>
      <c r="AG23" s="1245">
        <f t="shared" si="5"/>
        <v>0</v>
      </c>
      <c r="AH23" s="1245">
        <f t="shared" si="5"/>
        <v>0</v>
      </c>
      <c r="AI23" s="1245">
        <f t="shared" si="5"/>
        <v>0</v>
      </c>
      <c r="AJ23" s="1245">
        <f t="shared" si="5"/>
        <v>5910</v>
      </c>
      <c r="AK23" s="1245">
        <f t="shared" si="5"/>
        <v>55535</v>
      </c>
      <c r="AL23" s="1245">
        <f t="shared" si="5"/>
        <v>0</v>
      </c>
      <c r="AM23" s="1245">
        <f t="shared" si="5"/>
        <v>0</v>
      </c>
      <c r="AN23" s="1245">
        <f t="shared" si="5"/>
        <v>0</v>
      </c>
      <c r="AO23" s="1247">
        <f>IF(ISNUMBER(((NºAsuntos!I23/NºAsuntos!G23)*11)/factor_trimestre),((NºAsuntos!I23/NºAsuntos!G23)*11)/factor_trimestre," - ")</f>
        <v>0.82041852612843702</v>
      </c>
      <c r="AP23" s="1242" t="str">
        <f>IF(ISNUMBER(Datos!CI23/Datos!CJ23),Datos!CI23/Datos!CJ23," - ")</f>
        <v xml:space="preserve"> - </v>
      </c>
      <c r="AQ23" s="1248">
        <f>SUBTOTAL(9,AQ16:AQ22)</f>
        <v>0</v>
      </c>
      <c r="AR23" s="1248">
        <f>SUBTOTAL(9,AR16:AR22)</f>
        <v>0</v>
      </c>
      <c r="AS23" s="1242">
        <f>SUBTOTAL(9,AS16:AS22)</f>
        <v>0</v>
      </c>
      <c r="AT23" s="1242">
        <f>SUBTOTAL(9,AT16:AT22)</f>
        <v>0</v>
      </c>
      <c r="AU23" s="1242">
        <f>SUBTOTAL(9,AU16:AU22)</f>
        <v>0</v>
      </c>
      <c r="AV23" s="1242"/>
      <c r="AW23" s="1242"/>
      <c r="BT23" s="1209"/>
    </row>
    <row r="24" spans="1:72" ht="15.75" thickTop="1">
      <c r="A24" s="608"/>
      <c r="B24" s="608"/>
      <c r="C24" s="73" t="str">
        <f>Datos!A24</f>
        <v xml:space="preserve">Jurisdicción Cont.-Admva.:                      </v>
      </c>
      <c r="D24" s="619"/>
      <c r="E24" s="718"/>
      <c r="F24" s="612"/>
      <c r="G24" s="556"/>
      <c r="H24" s="848"/>
      <c r="I24" s="701"/>
      <c r="J24" s="231"/>
      <c r="K24" s="701"/>
      <c r="L24" s="701"/>
      <c r="M24" s="701"/>
      <c r="N24" s="701"/>
      <c r="O24" s="701"/>
      <c r="P24" s="1498"/>
      <c r="Q24" s="1498"/>
      <c r="R24" s="724"/>
      <c r="S24" s="379"/>
      <c r="T24" s="327"/>
      <c r="U24" s="1331"/>
      <c r="V24" s="701"/>
      <c r="W24" s="705"/>
      <c r="X24" s="706"/>
      <c r="Y24" s="738"/>
      <c r="Z24" s="738"/>
      <c r="AA24" s="701"/>
      <c r="AB24" s="701"/>
      <c r="AC24" s="701"/>
      <c r="AD24" s="701"/>
      <c r="AE24" s="701"/>
      <c r="AF24" s="599"/>
      <c r="AG24" s="599"/>
      <c r="AH24" s="599"/>
      <c r="AI24" s="599"/>
      <c r="AJ24" s="599"/>
      <c r="AK24" s="599"/>
      <c r="AL24" s="599"/>
      <c r="AM24" s="599"/>
      <c r="AN24" s="705"/>
      <c r="AO24" s="705"/>
      <c r="AP24" s="707"/>
      <c r="AQ24" s="707"/>
      <c r="AR24" s="707"/>
      <c r="AS24" s="739"/>
      <c r="AT24" s="739"/>
      <c r="AU24" s="739"/>
      <c r="AV24" s="629"/>
      <c r="AW24" s="660"/>
      <c r="BT24" s="630"/>
    </row>
    <row r="25" spans="1:72" ht="15" thickBot="1">
      <c r="A25" s="596">
        <f>Datos!AO25</f>
        <v>0</v>
      </c>
      <c r="B25" s="604" t="s">
        <v>516</v>
      </c>
      <c r="C25" s="7" t="str">
        <f>Datos!A25</f>
        <v xml:space="preserve">Jdos Cont.-Admvo.                               </v>
      </c>
      <c r="D25" s="566"/>
      <c r="E25" s="721">
        <f>IF(ISNUMBER(Datos!AQ25),Datos!AQ25," - ")</f>
        <v>0</v>
      </c>
      <c r="F25" s="556" t="str">
        <f>IF(ISNUMBER(Datos!L25+Datos!K25-Datos!J25),Datos!L25+Datos!K25-Datos!J25," - ")</f>
        <v xml:space="preserve"> - </v>
      </c>
      <c r="G25" s="556" t="str">
        <f>IF(ISNUMBER(Datos!I25),Datos!I25," - ")</f>
        <v xml:space="preserve"> - </v>
      </c>
      <c r="H25" s="566"/>
      <c r="I25" s="239" t="str">
        <f>IF(ISNUMBER(Datos!DB25),Datos!DB25," - ")</f>
        <v xml:space="preserve"> - </v>
      </c>
      <c r="J25" s="240" t="str">
        <f>IF(ISNUMBER(Datos!DC25),Datos!DC25," - ")</f>
        <v xml:space="preserve"> - </v>
      </c>
      <c r="K25" s="566">
        <f>IF(ISNUMBER(Datos!DF25),Datos!DF25,0)</f>
        <v>0</v>
      </c>
      <c r="L25" s="566"/>
      <c r="M25" s="566"/>
      <c r="N25" s="243"/>
      <c r="O25" s="566"/>
      <c r="P25" s="1495"/>
      <c r="Q25" s="1495"/>
      <c r="R25" s="566">
        <f>IF(ISNUMBER(Datos!AS25),Datos!AS25,0)</f>
        <v>0</v>
      </c>
      <c r="S25" s="379">
        <f>IF(ISNUMBER(R25/(Datos!BM25/factor_trimestre)),R25/(Datos!BM25/factor_trimestre)," - ")</f>
        <v>0</v>
      </c>
      <c r="T25" s="551" t="str">
        <f>IF(ISNUMBER(Datos!EO25),Datos!EO25," - ")</f>
        <v xml:space="preserve"> - </v>
      </c>
      <c r="U25" s="1327" t="e">
        <f>(T25/Datos!ER25)*factor_trimestre</f>
        <v>#VALUE!</v>
      </c>
      <c r="V25" s="567"/>
      <c r="W25" s="239" t="str">
        <f>IF(ISNUMBER(Datos!BY25),Datos!BY25," - ")</f>
        <v xml:space="preserve"> - </v>
      </c>
      <c r="X25" s="379" t="str">
        <f>IF(ISNUMBER((W25*factor_trimestre)/DatosB!CN25),(W25*factor_trimestre)/DatosB!CN25,"-")</f>
        <v>-</v>
      </c>
      <c r="Y25" s="736"/>
      <c r="Z25" s="566"/>
      <c r="AA25" s="372" t="str">
        <f>IF(ISNUMBER(Datos!L25),Datos!L25,"-")</f>
        <v>-</v>
      </c>
      <c r="AB25" s="553" t="str">
        <f>IF(ISNUMBER(Datos!DN25),Datos!DN25,"-")</f>
        <v>-</v>
      </c>
      <c r="AC25" s="553" t="str">
        <f>IF(ISNUMBER(Datos!DO25),Datos!DO25,"-")</f>
        <v>-</v>
      </c>
      <c r="AD25" s="567"/>
      <c r="AE25" s="567"/>
      <c r="AF25" s="243" t="str">
        <f>IF(ISNUMBER(Datos!BV25),Datos!BV25," - ")</f>
        <v xml:space="preserve"> - </v>
      </c>
      <c r="AG25" s="556" t="str">
        <f>IF(ISNUMBER(Datos!DV25),Datos!DV25," - ")</f>
        <v xml:space="preserve"> - </v>
      </c>
      <c r="AH25" s="557" t="str">
        <f>IF(ISNUMBER(Datos!DZ25),Datos!DZ25," - ")</f>
        <v xml:space="preserve"> - </v>
      </c>
      <c r="AI25" s="558" t="str">
        <f>IF(ISNUMBER(Datos!EA25),Datos!EA25," - ")</f>
        <v xml:space="preserve"> - </v>
      </c>
      <c r="AJ25" s="239" t="str">
        <f>IF(ISNUMBER(Datos!M25),Datos!M25," - ")</f>
        <v xml:space="preserve"> - </v>
      </c>
      <c r="AK25" s="245" t="str">
        <f>IF(ISNUMBER(Datos!N25),Datos!N25," - ")</f>
        <v xml:space="preserve"> - </v>
      </c>
      <c r="AL25" s="245" t="str">
        <f>IF(ISNUMBER(Datos!BW25),Datos!BW25," - ")</f>
        <v xml:space="preserve"> - </v>
      </c>
      <c r="AM25" s="246" t="str">
        <f>IF(ISNUMBER(Datos!BX25),Datos!BX25," - ")</f>
        <v xml:space="preserve"> - </v>
      </c>
      <c r="AN25" s="405" t="str">
        <f>IF(ISNUMBER(Datos!K25/Datos!J25),Datos!K25/Datos!J25," - ")</f>
        <v xml:space="preserve"> - </v>
      </c>
      <c r="AO25" s="406" t="str">
        <f>IF(ISNUMBER(((Datos!L25/Datos!K25)*11)/factor_trimestre),((Datos!L25/Datos!K25)*11)/factor_trimestre," - ")</f>
        <v xml:space="preserve"> - </v>
      </c>
      <c r="AP25" s="244" t="str">
        <f>IF(ISNUMBER(Datos!CI25/Datos!CJ25),Datos!CI25/Datos!CJ25," - ")</f>
        <v xml:space="preserve"> - </v>
      </c>
      <c r="AQ25" s="244"/>
      <c r="AR25" s="244"/>
      <c r="AS25" s="407"/>
      <c r="AT25" s="407"/>
      <c r="AU25" s="407"/>
      <c r="AV25" s="290">
        <f>IF(ISNUMBER(Datos!CX25)," - ",Datos!CX25)</f>
        <v>0</v>
      </c>
      <c r="AW25" s="568">
        <f>Datos!DU25</f>
        <v>0</v>
      </c>
      <c r="BT25" s="1382">
        <f>Datos!ER25/factor_trimestre</f>
        <v>570</v>
      </c>
    </row>
    <row r="26" spans="1:72" ht="15.75" thickTop="1" thickBot="1">
      <c r="A26" s="191"/>
      <c r="B26" s="191"/>
      <c r="C26" s="1163" t="str">
        <f>Datos!A26</f>
        <v>TOTAL</v>
      </c>
      <c r="D26" s="1163"/>
      <c r="E26" s="1200">
        <f t="shared" ref="E26:S26" si="6">SUBTOTAL(9,E25:E25)</f>
        <v>0</v>
      </c>
      <c r="F26" s="1200">
        <f t="shared" si="6"/>
        <v>0</v>
      </c>
      <c r="G26" s="1200">
        <f t="shared" si="6"/>
        <v>0</v>
      </c>
      <c r="H26" s="1249">
        <f t="shared" si="6"/>
        <v>0</v>
      </c>
      <c r="I26" s="1220">
        <f t="shared" si="6"/>
        <v>0</v>
      </c>
      <c r="J26" s="1170">
        <f t="shared" si="6"/>
        <v>0</v>
      </c>
      <c r="K26" s="1220">
        <f t="shared" si="6"/>
        <v>0</v>
      </c>
      <c r="L26" s="1250">
        <f t="shared" si="6"/>
        <v>0</v>
      </c>
      <c r="M26" s="1250">
        <f t="shared" si="6"/>
        <v>0</v>
      </c>
      <c r="N26" s="1250">
        <f t="shared" si="6"/>
        <v>0</v>
      </c>
      <c r="O26" s="1250">
        <f t="shared" si="6"/>
        <v>0</v>
      </c>
      <c r="P26" s="1499">
        <f t="shared" si="6"/>
        <v>0</v>
      </c>
      <c r="Q26" s="1499">
        <f t="shared" si="6"/>
        <v>0</v>
      </c>
      <c r="R26" s="1250">
        <f t="shared" si="6"/>
        <v>0</v>
      </c>
      <c r="S26" s="1497">
        <f t="shared" si="6"/>
        <v>0</v>
      </c>
      <c r="T26" s="1164">
        <f>SUBTOTAL(9,T23:T25)</f>
        <v>0</v>
      </c>
      <c r="U26" s="1330" t="e">
        <f>SUBTOTAL(9,U23:U25)</f>
        <v>#VALUE!</v>
      </c>
      <c r="V26" s="1251"/>
      <c r="W26" s="1220">
        <f>SUBTOTAL(9,W23:W25)</f>
        <v>0</v>
      </c>
      <c r="X26" s="1252">
        <f>IF(ISNUMBER((W26*factor_trimestre)/Datos!BM26),(W26*factor_trimestre)/Datos!BM26,"-")</f>
        <v>0</v>
      </c>
      <c r="Y26" s="1253"/>
      <c r="Z26" s="1253"/>
      <c r="AA26" s="1254">
        <f>SUBTOTAL(9,AA25:AA25)</f>
        <v>0</v>
      </c>
      <c r="AB26" s="1254">
        <f>SUBTOTAL(9,AB25:AB25)</f>
        <v>0</v>
      </c>
      <c r="AC26" s="1254">
        <f>SUBTOTAL(9,AC25:AC25)</f>
        <v>0</v>
      </c>
      <c r="AD26" s="1245">
        <f>SUBTOTAL(9,AD25:AD25)</f>
        <v>0</v>
      </c>
      <c r="AE26" s="1245"/>
      <c r="AF26" s="1255">
        <f t="shared" ref="AF26:AM26" si="7">SUBTOTAL(9,AF25:AF25)</f>
        <v>0</v>
      </c>
      <c r="AG26" s="1220">
        <f t="shared" si="7"/>
        <v>0</v>
      </c>
      <c r="AH26" s="1256">
        <f t="shared" si="7"/>
        <v>0</v>
      </c>
      <c r="AI26" s="1257">
        <f t="shared" si="7"/>
        <v>0</v>
      </c>
      <c r="AJ26" s="1220">
        <f t="shared" si="7"/>
        <v>0</v>
      </c>
      <c r="AK26" s="1255">
        <f t="shared" si="7"/>
        <v>0</v>
      </c>
      <c r="AL26" s="1221">
        <f t="shared" si="7"/>
        <v>0</v>
      </c>
      <c r="AM26" s="1257">
        <f t="shared" si="7"/>
        <v>0</v>
      </c>
      <c r="AN26" s="1222" t="str">
        <f>IF(ISNUMBER(Datos!K26/Datos!J26),Datos!K26/Datos!J26," - ")</f>
        <v xml:space="preserve"> - </v>
      </c>
      <c r="AO26" s="1222" t="str">
        <f>IF(ISNUMBER(((Datos!L26/Datos!K26)*11)/factor_trimestre),((Datos!L26/Datos!K26)*11)/factor_trimestre," - ")</f>
        <v xml:space="preserve"> - </v>
      </c>
      <c r="AP26" s="1206" t="str">
        <f>IF(ISNUMBER(Datos!CI26/Datos!CJ26),Datos!CI26/Datos!CJ26," - ")</f>
        <v xml:space="preserve"> - </v>
      </c>
      <c r="AQ26" s="1206"/>
      <c r="AR26" s="1206"/>
      <c r="AS26" s="1216"/>
      <c r="AT26" s="1216"/>
      <c r="AU26" s="1216"/>
      <c r="AV26" s="1219"/>
      <c r="AW26" s="1243"/>
      <c r="BT26" s="1209"/>
    </row>
    <row r="27" spans="1:72" ht="15" thickTop="1">
      <c r="A27" s="608"/>
      <c r="B27" s="608"/>
      <c r="C27" s="73" t="str">
        <f>Datos!A27</f>
        <v xml:space="preserve">Jurisdicción Social:                            </v>
      </c>
      <c r="D27" s="619"/>
      <c r="E27" s="718"/>
      <c r="F27" s="249"/>
      <c r="G27" s="556"/>
      <c r="H27" s="765"/>
      <c r="I27" s="701"/>
      <c r="J27" s="231"/>
      <c r="K27" s="701"/>
      <c r="L27" s="764"/>
      <c r="M27" s="764"/>
      <c r="N27" s="764"/>
      <c r="O27" s="765"/>
      <c r="P27" s="1500"/>
      <c r="Q27" s="1500"/>
      <c r="R27" s="566"/>
      <c r="S27" s="379"/>
      <c r="T27" s="328"/>
      <c r="U27" s="1332"/>
      <c r="V27" s="701"/>
      <c r="W27" s="703"/>
      <c r="X27" s="702"/>
      <c r="Y27" s="724"/>
      <c r="Z27" s="724"/>
      <c r="AA27" s="701"/>
      <c r="AB27" s="701"/>
      <c r="AC27" s="701"/>
      <c r="AD27" s="701"/>
      <c r="AE27" s="701"/>
      <c r="AF27" s="599"/>
      <c r="AG27" s="599"/>
      <c r="AH27" s="599"/>
      <c r="AI27" s="599"/>
      <c r="AJ27" s="599"/>
      <c r="AK27" s="599"/>
      <c r="AL27" s="599"/>
      <c r="AM27" s="599"/>
      <c r="AN27" s="704"/>
      <c r="AO27" s="406" t="str">
        <f>IF(ISNUMBER(((Datos!L27/Datos!K27)*11)/factor_trimestre),((Datos!L27/Datos!K27)*11)/factor_trimestre," - ")</f>
        <v xml:space="preserve"> - </v>
      </c>
      <c r="AP27" s="633"/>
      <c r="AQ27" s="633"/>
      <c r="AR27" s="633"/>
      <c r="AS27" s="712"/>
      <c r="AT27" s="712"/>
      <c r="AU27" s="712"/>
      <c r="AV27" s="635"/>
      <c r="AW27" s="660"/>
      <c r="BT27" s="636"/>
    </row>
    <row r="28" spans="1:72" ht="14.25">
      <c r="A28" s="596">
        <f>Datos!AO28</f>
        <v>0</v>
      </c>
      <c r="B28" s="604" t="s">
        <v>517</v>
      </c>
      <c r="C28" s="7" t="str">
        <f>Datos!A28</f>
        <v xml:space="preserve">Jdos. de lo Social                              </v>
      </c>
      <c r="D28" s="566"/>
      <c r="E28" s="721">
        <f>IF(ISNUMBER(Datos!AQ28),Datos!AQ28," - ")</f>
        <v>0</v>
      </c>
      <c r="F28" s="556" t="str">
        <f>IF(ISNUMBER(Datos!L28+Datos!K28-Datos!J28),Datos!L28+Datos!K28-Datos!J28," - ")</f>
        <v xml:space="preserve"> - </v>
      </c>
      <c r="G28" s="556" t="str">
        <f>IF(ISNUMBER(Datos!I28),Datos!I28," - ")</f>
        <v xml:space="preserve"> - </v>
      </c>
      <c r="H28" s="566"/>
      <c r="I28" s="239" t="str">
        <f>IF(ISNUMBER(Datos!DB28),Datos!DB28," - ")</f>
        <v xml:space="preserve"> - </v>
      </c>
      <c r="J28" s="240" t="str">
        <f>IF(ISNUMBER(Datos!DC28),Datos!DC28," - ")</f>
        <v xml:space="preserve"> - </v>
      </c>
      <c r="K28" s="566">
        <f>IF(ISNUMBER(Datos!DF28),Datos!DF28,0)</f>
        <v>0</v>
      </c>
      <c r="L28" s="566"/>
      <c r="M28" s="566"/>
      <c r="N28" s="243">
        <f>IF(ISNUMBER(Datos!P28),Datos!P28,0)</f>
        <v>0</v>
      </c>
      <c r="O28" s="566"/>
      <c r="P28" s="1495"/>
      <c r="Q28" s="1495"/>
      <c r="R28" s="566">
        <f>IF(ISNUMBER(Datos!AS28),Datos!AS28,0)</f>
        <v>0</v>
      </c>
      <c r="S28" s="379">
        <f>IF(ISNUMBER(R28/(Datos!BM28/factor_trimestre)),R28/(Datos!BM28/factor_trimestre)," - ")</f>
        <v>0</v>
      </c>
      <c r="T28" s="551" t="str">
        <f>IF(ISNUMBER(Datos!EO28),Datos!EO28," - ")</f>
        <v xml:space="preserve"> - </v>
      </c>
      <c r="U28" s="1327" t="e">
        <f>((T28/Datos!AQ28)/Datos!ER28)*factor_trimestre</f>
        <v>#VALUE!</v>
      </c>
      <c r="V28" s="567"/>
      <c r="W28" s="239" t="str">
        <f>IF(ISNUMBER(Datos!BY28),Datos!BY28," - ")</f>
        <v xml:space="preserve"> - </v>
      </c>
      <c r="X28" s="379" t="str">
        <f>IF(ISNUMBER((W28*factor_trimestre)/DatosB!CN28),(W28*factor_trimestre)/DatosB!CN28,"-")</f>
        <v>-</v>
      </c>
      <c r="Y28" s="736"/>
      <c r="Z28" s="566"/>
      <c r="AA28" s="372" t="str">
        <f>IF(ISNUMBER(Datos!L28),Datos!L28,"-")</f>
        <v>-</v>
      </c>
      <c r="AB28" s="553"/>
      <c r="AC28" s="553"/>
      <c r="AD28" s="567"/>
      <c r="AE28" s="567" t="str">
        <f>IF(ISNUMBER(Datos!R28),Datos!R28," - ")</f>
        <v xml:space="preserve"> - </v>
      </c>
      <c r="AF28" s="243" t="str">
        <f>IF(ISNUMBER(Datos!BV28),Datos!BV28," - ")</f>
        <v xml:space="preserve"> - </v>
      </c>
      <c r="AG28" s="556"/>
      <c r="AH28" s="557"/>
      <c r="AI28" s="558"/>
      <c r="AJ28" s="239" t="str">
        <f>IF(ISNUMBER(Datos!M28),Datos!M28," - ")</f>
        <v xml:space="preserve"> - </v>
      </c>
      <c r="AK28" s="245" t="str">
        <f>IF(ISNUMBER(Datos!N28),Datos!N28," - ")</f>
        <v xml:space="preserve"> - </v>
      </c>
      <c r="AL28" s="245" t="str">
        <f>IF(ISNUMBER(Datos!BW28),Datos!BW28," - ")</f>
        <v xml:space="preserve"> - </v>
      </c>
      <c r="AM28" s="246" t="str">
        <f>IF(ISNUMBER(Datos!BX28),Datos!BX28," - ")</f>
        <v xml:space="preserve"> - </v>
      </c>
      <c r="AN28" s="405"/>
      <c r="AO28" s="406" t="str">
        <f>IF(ISNUMBER(((Datos!L28/Datos!K28)*11)/factor_trimestre),((Datos!L28/Datos!K28)*11)/factor_trimestre," - ")</f>
        <v xml:space="preserve"> - </v>
      </c>
      <c r="AP28" s="244" t="str">
        <f>IF(ISNUMBER(Datos!CI28/Datos!CJ28),Datos!CI28/Datos!CJ28," - ")</f>
        <v xml:space="preserve"> - </v>
      </c>
      <c r="AQ28" s="244"/>
      <c r="AR28" s="244"/>
      <c r="AS28" s="407"/>
      <c r="AT28" s="407"/>
      <c r="AU28" s="407"/>
      <c r="AV28" s="290">
        <f>IF(ISNUMBER(Datos!CX28)," - ",Datos!CX28)</f>
        <v>0</v>
      </c>
      <c r="AW28" s="568">
        <f>Datos!DU28</f>
        <v>0</v>
      </c>
      <c r="BT28" s="1382">
        <f>800/factor_trimestre</f>
        <v>800</v>
      </c>
    </row>
    <row r="29" spans="1:72" ht="15" thickBot="1">
      <c r="A29" s="596">
        <f>Datos!AO29</f>
        <v>0</v>
      </c>
      <c r="B29" s="604" t="s">
        <v>517</v>
      </c>
      <c r="C29" s="7" t="str">
        <f>Datos!A29</f>
        <v>Jdos. De lo Social de Ejecuciones</v>
      </c>
      <c r="D29" s="566"/>
      <c r="E29" s="721">
        <f>IF(ISNUMBER(Datos!AQ29),Datos!AQ29," - ")</f>
        <v>0</v>
      </c>
      <c r="F29" s="556" t="str">
        <f>IF(ISNUMBER(Datos!L29+Datos!K29-Datos!J29-K29),Datos!L29+Datos!K29-Datos!J29-K29," - ")</f>
        <v xml:space="preserve"> - </v>
      </c>
      <c r="G29" s="556" t="str">
        <f>IF(ISNUMBER(Datos!I29),Datos!I29," - ")</f>
        <v xml:space="preserve"> - </v>
      </c>
      <c r="H29" s="566"/>
      <c r="I29" s="239" t="str">
        <f>IF(ISNUMBER(Datos!DB29),Datos!DB29," - ")</f>
        <v xml:space="preserve"> - </v>
      </c>
      <c r="J29" s="240" t="str">
        <f>IF(ISNUMBER(Datos!DC29),Datos!DC29," - ")</f>
        <v xml:space="preserve"> - </v>
      </c>
      <c r="K29" s="566">
        <f>IF(ISNUMBER(Datos!DF29),Datos!DF29,0)</f>
        <v>0</v>
      </c>
      <c r="L29" s="566"/>
      <c r="M29" s="566"/>
      <c r="N29" s="243">
        <f>IF(ISNUMBER(Datos!P29),Datos!P29,0)</f>
        <v>0</v>
      </c>
      <c r="O29" s="566"/>
      <c r="P29" s="1495"/>
      <c r="Q29" s="1495"/>
      <c r="R29" s="566">
        <f>IF(ISNUMBER(Datos!AS29),Datos!AS29,0)</f>
        <v>0</v>
      </c>
      <c r="S29" s="379" t="str">
        <f>IF(ISNUMBER((R29/Datos!AQ29)/(Datos!BM29/factor_trimestre)),(R29/Datos!AQ29)/(Datos!BM29/factor_trimestre)," - ")</f>
        <v xml:space="preserve"> - </v>
      </c>
      <c r="T29" s="551" t="str">
        <f>IF(ISNUMBER(Datos!EO29),Datos!EO29," - ")</f>
        <v xml:space="preserve"> - </v>
      </c>
      <c r="U29" s="1327" t="e">
        <f>((T29/Datos!AQ29)/Datos!ER29)*factor_trimestre</f>
        <v>#VALUE!</v>
      </c>
      <c r="V29" s="567"/>
      <c r="W29" s="239" t="str">
        <f>IF(ISNUMBER(Datos!BY29),Datos!BY29," - ")</f>
        <v xml:space="preserve"> - </v>
      </c>
      <c r="X29" s="379" t="str">
        <f>IF(ISNUMBER((W29*factor_trimestre)/DatosB!CN29),(W29*factor_trimestre)/DatosB!CN29,"-")</f>
        <v>-</v>
      </c>
      <c r="Y29" s="736"/>
      <c r="Z29" s="566"/>
      <c r="AA29" s="372" t="str">
        <f>IF(ISNUMBER(Datos!L29),Datos!L29,"-")</f>
        <v>-</v>
      </c>
      <c r="AB29" s="553"/>
      <c r="AC29" s="553"/>
      <c r="AD29" s="566"/>
      <c r="AE29" s="567" t="str">
        <f>IF(ISNUMBER(Datos!R29),Datos!R29," - ")</f>
        <v xml:space="preserve"> - </v>
      </c>
      <c r="AF29" s="243" t="str">
        <f>IF(ISNUMBER(Datos!BV29),Datos!BV29," - ")</f>
        <v xml:space="preserve"> - </v>
      </c>
      <c r="AG29" s="556"/>
      <c r="AH29" s="557"/>
      <c r="AI29" s="558"/>
      <c r="AJ29" s="239" t="str">
        <f>IF(ISNUMBER(Datos!M29),Datos!M29," - ")</f>
        <v xml:space="preserve"> - </v>
      </c>
      <c r="AK29" s="245" t="str">
        <f>IF(ISNUMBER(Datos!N29),Datos!N29," - ")</f>
        <v xml:space="preserve"> - </v>
      </c>
      <c r="AL29" s="245" t="str">
        <f>IF(ISNUMBER(Datos!BW29),Datos!BW29," - ")</f>
        <v xml:space="preserve"> - </v>
      </c>
      <c r="AM29" s="246" t="str">
        <f>IF(ISNUMBER(Datos!BX29),Datos!BX29," - ")</f>
        <v xml:space="preserve"> - </v>
      </c>
      <c r="AN29" s="405"/>
      <c r="AO29" s="406" t="str">
        <f>IF(ISNUMBER(((Datos!R29/Datos!Q29)*11)/factor_trimestre),((Datos!R29/Datos!Q29)*11)/factor_trimestre," - ")</f>
        <v xml:space="preserve"> - </v>
      </c>
      <c r="AP29" s="244" t="str">
        <f>IF(ISNUMBER(Datos!CI29/Datos!CJ29),Datos!CI29/Datos!CJ29," - ")</f>
        <v xml:space="preserve"> - </v>
      </c>
      <c r="AQ29" s="244"/>
      <c r="AR29" s="244"/>
      <c r="AS29" s="407"/>
      <c r="AT29" s="407"/>
      <c r="AU29" s="407"/>
      <c r="AV29" s="290">
        <f>IF(ISNUMBER(Datos!CX29)," - ",Datos!CX29)</f>
        <v>0</v>
      </c>
      <c r="AW29" s="568">
        <f>Datos!DU29</f>
        <v>0</v>
      </c>
      <c r="BT29" s="1382">
        <f>Datos!ER29/factor_trimestre</f>
        <v>3500</v>
      </c>
    </row>
    <row r="30" spans="1:72" ht="15.75" thickTop="1" thickBot="1">
      <c r="A30" s="191"/>
      <c r="B30" s="191"/>
      <c r="C30" s="1163" t="str">
        <f>Datos!A30</f>
        <v>TOTAL</v>
      </c>
      <c r="D30" s="1163"/>
      <c r="E30" s="1200">
        <f t="shared" ref="E30:S30" si="8">SUBTOTAL(9,E28:E29)</f>
        <v>0</v>
      </c>
      <c r="F30" s="1200">
        <f t="shared" si="8"/>
        <v>0</v>
      </c>
      <c r="G30" s="1200">
        <f t="shared" si="8"/>
        <v>0</v>
      </c>
      <c r="H30" s="1214">
        <f t="shared" si="8"/>
        <v>0</v>
      </c>
      <c r="I30" s="1200">
        <f t="shared" si="8"/>
        <v>0</v>
      </c>
      <c r="J30" s="1170">
        <f t="shared" si="8"/>
        <v>0</v>
      </c>
      <c r="K30" s="1200">
        <f t="shared" si="8"/>
        <v>0</v>
      </c>
      <c r="L30" s="1200">
        <f t="shared" si="8"/>
        <v>0</v>
      </c>
      <c r="M30" s="1200">
        <f t="shared" si="8"/>
        <v>0</v>
      </c>
      <c r="N30" s="1200">
        <f t="shared" si="8"/>
        <v>0</v>
      </c>
      <c r="O30" s="1200">
        <f t="shared" si="8"/>
        <v>0</v>
      </c>
      <c r="P30" s="1501">
        <f t="shared" si="8"/>
        <v>0</v>
      </c>
      <c r="Q30" s="1501">
        <f t="shared" si="8"/>
        <v>0</v>
      </c>
      <c r="R30" s="1200">
        <f t="shared" si="8"/>
        <v>0</v>
      </c>
      <c r="S30" s="1497">
        <f t="shared" si="8"/>
        <v>0</v>
      </c>
      <c r="T30" s="1164">
        <f>SUBTOTAL(9,T25:T29)</f>
        <v>0</v>
      </c>
      <c r="U30" s="1330" t="e">
        <f>SUBTOTAL(9,U25:U29)</f>
        <v>#VALUE!</v>
      </c>
      <c r="V30" s="1212"/>
      <c r="W30" s="1200">
        <f>SUBTOTAL(9,W25:W29)</f>
        <v>0</v>
      </c>
      <c r="X30" s="1204">
        <f>IF(ISNUMBER((W30*factor_trimestre)/Datos!BM30),(W30*factor_trimestre)/Datos!BM30,"-")</f>
        <v>0</v>
      </c>
      <c r="Y30" s="1258"/>
      <c r="Z30" s="1258"/>
      <c r="AA30" s="1202">
        <f t="shared" ref="AA30:AM30" si="9">SUBTOTAL(9,AA28:AA29)</f>
        <v>0</v>
      </c>
      <c r="AB30" s="1202">
        <f t="shared" si="9"/>
        <v>0</v>
      </c>
      <c r="AC30" s="1202">
        <f t="shared" si="9"/>
        <v>0</v>
      </c>
      <c r="AD30" s="1213">
        <f t="shared" si="9"/>
        <v>0</v>
      </c>
      <c r="AE30" s="1213">
        <f t="shared" si="9"/>
        <v>0</v>
      </c>
      <c r="AF30" s="1214">
        <f t="shared" si="9"/>
        <v>0</v>
      </c>
      <c r="AG30" s="1200">
        <f t="shared" si="9"/>
        <v>0</v>
      </c>
      <c r="AH30" s="1215">
        <f t="shared" si="9"/>
        <v>0</v>
      </c>
      <c r="AI30" s="1210">
        <f t="shared" si="9"/>
        <v>0</v>
      </c>
      <c r="AJ30" s="1200">
        <f t="shared" si="9"/>
        <v>0</v>
      </c>
      <c r="AK30" s="1214">
        <f t="shared" si="9"/>
        <v>0</v>
      </c>
      <c r="AL30" s="1201">
        <f t="shared" si="9"/>
        <v>0</v>
      </c>
      <c r="AM30" s="1210">
        <f t="shared" si="9"/>
        <v>0</v>
      </c>
      <c r="AN30" s="1206" t="str">
        <f>IF(ISNUMBER(NºAsuntos!G30/NºAsuntos!E30),NºAsuntos!G30/NºAsuntos!E30," - ")</f>
        <v xml:space="preserve"> - </v>
      </c>
      <c r="AO30" s="1222" t="str">
        <f>IF(ISNUMBER(((Datos!L30/Datos!K30)*11)/factor_trimestre),((Datos!L30/Datos!K30)*11)/factor_trimestre," - ")</f>
        <v xml:space="preserve"> - </v>
      </c>
      <c r="AP30" s="1206" t="str">
        <f>IF(ISNUMBER(Datos!CI30/Datos!CJ30),Datos!CI30/Datos!CJ30," - ")</f>
        <v xml:space="preserve"> - </v>
      </c>
      <c r="AQ30" s="1206"/>
      <c r="AR30" s="1206"/>
      <c r="AS30" s="1216"/>
      <c r="AT30" s="1216"/>
      <c r="AU30" s="1216"/>
      <c r="AV30" s="1219"/>
      <c r="AW30" s="1243"/>
      <c r="BT30" s="1209"/>
    </row>
    <row r="31" spans="1:72" ht="18.75" customHeight="1" thickTop="1" thickBot="1">
      <c r="A31" s="185"/>
      <c r="B31" s="185"/>
      <c r="C31" s="1118" t="str">
        <f>Datos!A31</f>
        <v>TOTAL JURISDICCIONES</v>
      </c>
      <c r="D31" s="1119"/>
      <c r="E31" s="1120">
        <f t="shared" ref="E31:O31" si="10">SUBTOTAL(9,E9:E30)</f>
        <v>41</v>
      </c>
      <c r="F31" s="1120">
        <f t="shared" si="10"/>
        <v>6377</v>
      </c>
      <c r="G31" s="1120">
        <f t="shared" si="10"/>
        <v>6449</v>
      </c>
      <c r="H31" s="1121">
        <f t="shared" si="10"/>
        <v>0</v>
      </c>
      <c r="I31" s="1120">
        <f t="shared" si="10"/>
        <v>0</v>
      </c>
      <c r="J31" s="1122">
        <f t="shared" si="10"/>
        <v>0</v>
      </c>
      <c r="K31" s="1120">
        <f t="shared" si="10"/>
        <v>0</v>
      </c>
      <c r="L31" s="1123">
        <f t="shared" si="10"/>
        <v>0</v>
      </c>
      <c r="M31" s="1120">
        <f t="shared" si="10"/>
        <v>0</v>
      </c>
      <c r="N31" s="1121">
        <f t="shared" si="10"/>
        <v>9708</v>
      </c>
      <c r="O31" s="1121">
        <f t="shared" si="10"/>
        <v>0</v>
      </c>
      <c r="P31" s="1502">
        <f>IF(ISNUMBER(AVERAGE(P8:P30)),AVERAGE(P8:P30),"-")</f>
        <v>0</v>
      </c>
      <c r="Q31" s="1502">
        <f>IF(ISNUMBER(AVERAGE(Q8:Q30)),AVERAGE(Q8:Q30),"-")</f>
        <v>0</v>
      </c>
      <c r="R31" s="1121">
        <f>SUBTOTAL(9,R9:R30)</f>
        <v>0</v>
      </c>
      <c r="S31" s="1502">
        <f>IF(ISNUMBER(AVERAGE(S8:S30)),AVERAGE(S8:S30),"-")</f>
        <v>0</v>
      </c>
      <c r="T31" s="1182">
        <f>SUBTOTAL(9,T9:T30)</f>
        <v>0</v>
      </c>
      <c r="U31" s="1333" t="e">
        <f>SUBTOTAL(9,U9:U30)</f>
        <v>#VALUE!</v>
      </c>
      <c r="V31" s="1125">
        <f>SUBTOTAL(9,V9:V30)</f>
        <v>0</v>
      </c>
      <c r="W31" s="1120">
        <f>SUBTOTAL(9,W9:W30)</f>
        <v>0</v>
      </c>
      <c r="X31" s="1126">
        <f>IF(ISNUMBER(AVERAGE(X8:X30)),AVERAGE(X8:X30),"-")</f>
        <v>0</v>
      </c>
      <c r="Y31" s="1127">
        <f t="shared" ref="Y31:AM31" si="11">SUBTOTAL(9,Y9:Y30)</f>
        <v>76943</v>
      </c>
      <c r="Z31" s="1127">
        <f t="shared" si="11"/>
        <v>12119</v>
      </c>
      <c r="AA31" s="1128">
        <f t="shared" si="11"/>
        <v>5903</v>
      </c>
      <c r="AB31" s="1128">
        <f t="shared" si="11"/>
        <v>0</v>
      </c>
      <c r="AC31" s="1128">
        <f t="shared" si="11"/>
        <v>0</v>
      </c>
      <c r="AD31" s="1129">
        <f t="shared" si="11"/>
        <v>0</v>
      </c>
      <c r="AE31" s="1129">
        <f t="shared" si="11"/>
        <v>25537</v>
      </c>
      <c r="AF31" s="1130">
        <f t="shared" si="11"/>
        <v>0</v>
      </c>
      <c r="AG31" s="1131">
        <f t="shared" si="11"/>
        <v>0</v>
      </c>
      <c r="AH31" s="1132">
        <f t="shared" si="11"/>
        <v>0</v>
      </c>
      <c r="AI31" s="1130">
        <f t="shared" si="11"/>
        <v>0</v>
      </c>
      <c r="AJ31" s="1120">
        <f t="shared" si="11"/>
        <v>17857</v>
      </c>
      <c r="AK31" s="1120">
        <f t="shared" si="11"/>
        <v>77534</v>
      </c>
      <c r="AL31" s="1120">
        <f t="shared" si="11"/>
        <v>0</v>
      </c>
      <c r="AM31" s="1133">
        <f t="shared" si="11"/>
        <v>0</v>
      </c>
      <c r="AN31" s="1123">
        <f>IF(ISNUMBER(Datos!K31/Datos!J31),Datos!K31/Datos!J31," - ")</f>
        <v>1.0270977338349812</v>
      </c>
      <c r="AO31" s="1123">
        <f>IF(ISNUMBER(FIND("06",Criterios!A8,1)),(IF(ISNUMBER(((Datos!R31/Datos!Q31)*11)/factor_trimestre),((Datos!R31/Datos!Q31)*11)/factor_trimestre," - ")),(IF(ISNUMBER(((Datos!L31/Datos!K31)*11)/factor_trimestre),((Datos!L31/Datos!K31)*11)/factor_trimestre," - ")))</f>
        <v>2.9693918406637869</v>
      </c>
      <c r="AP31" s="1134" t="str">
        <f>IF(ISNUMBER(Datos!CI31/Datos!CJ31),Datos!CI31/Datos!CJ31," - ")</f>
        <v xml:space="preserve"> - </v>
      </c>
      <c r="AQ31" s="1134">
        <f>IF(OR(ISNUMBER(FIND("01",Criterios!A8,1)),ISNUMBER(FIND("02",Criterios!A8,1)),ISNUMBER(FIND("03",Criterios!A8,1)),ISNUMBER(FIND("04",Criterios!A8,1))),(J31-Y31+K31)/(F31-K31),(I31-Y31+K31)/(F31-K31))</f>
        <v>-12.065704876901364</v>
      </c>
      <c r="AR31" s="1134">
        <f>IF(ISNUMBER((Datos!P31-Datos!Q31+O31)/(Datos!R31-Datos!P31+Datos!Q31-O31)),(Datos!P31-Datos!Q31+O31)/(Datos!R31-Datos!P31+Datos!Q31-O31)," - ")</f>
        <v>-8.6267353656791182E-2</v>
      </c>
      <c r="AS31" s="1135">
        <f>SUBTOTAL(9,AS9:AS30)</f>
        <v>0</v>
      </c>
      <c r="AT31" s="1135">
        <f>SUBTOTAL(9,AT9:AT30)</f>
        <v>0</v>
      </c>
      <c r="AU31" s="1135">
        <f>SUBTOTAL(9,AU9:AU30)</f>
        <v>0</v>
      </c>
      <c r="AV31" s="1136"/>
      <c r="AW31" s="1137"/>
      <c r="BT31" s="1231"/>
    </row>
    <row r="32" spans="1:72" ht="18.75" customHeight="1" thickTop="1" thickBot="1">
      <c r="A32" s="180"/>
      <c r="B32" s="180">
        <f>'Indicadores CA'!B32</f>
        <v>0</v>
      </c>
      <c r="C32" s="1138" t="s">
        <v>344</v>
      </c>
      <c r="D32" s="1139"/>
      <c r="E32" s="1106">
        <f ca="1">IF(ISNUMBER(SUMIF($B8:$B30,$B32,E8:E30)/INDIRECT("Datos!AP"&amp;ROW()-1)),SUMIF($B8:$B30,$B32,E8:E30)/INDIRECT("Datos!AP"&amp;ROW()-1),"-")</f>
        <v>0</v>
      </c>
      <c r="F32" s="1106">
        <f ca="1">IF(ISNUMBER(SUMIF($B8:$B30,$B32,F8:F30)/INDIRECT("Datos!AP"&amp;ROW()-1)),SUMIF($B8:$B30,$B32,F8:F30)/INDIRECT("Datos!AP"&amp;ROW()-1),"-")</f>
        <v>0</v>
      </c>
      <c r="G32" s="1106">
        <f>IF(ISNUMBER(AVERAGE(G8:G30)),AVERAGE(G8:G30),"-")</f>
        <v>1842.5714285714287</v>
      </c>
      <c r="H32" s="1106">
        <f t="shared" ref="H32:AO32" ca="1" si="12">IF(ISNUMBER(SUMIF($B8:$B30,$B32,H8:H30)/INDIRECT("Datos!AP"&amp;ROW()-1)),SUMIF($B8:$B30,$B32,H8:H30)/INDIRECT("Datos!AP"&amp;ROW()-1),"-")</f>
        <v>0</v>
      </c>
      <c r="I32" s="1106">
        <f t="shared" ca="1" si="12"/>
        <v>0</v>
      </c>
      <c r="J32" s="1108">
        <f t="shared" ca="1" si="12"/>
        <v>0</v>
      </c>
      <c r="K32" s="1106">
        <f t="shared" ca="1" si="12"/>
        <v>0</v>
      </c>
      <c r="L32" s="1106">
        <f t="shared" ca="1" si="12"/>
        <v>0</v>
      </c>
      <c r="M32" s="1106">
        <f t="shared" ca="1" si="12"/>
        <v>0</v>
      </c>
      <c r="N32" s="1106">
        <f t="shared" ca="1" si="12"/>
        <v>0</v>
      </c>
      <c r="O32" s="1106">
        <f t="shared" ca="1" si="12"/>
        <v>0</v>
      </c>
      <c r="P32" s="1503">
        <f t="shared" ca="1" si="12"/>
        <v>0</v>
      </c>
      <c r="Q32" s="1503">
        <f t="shared" ca="1" si="12"/>
        <v>0</v>
      </c>
      <c r="R32" s="1106">
        <f t="shared" ca="1" si="12"/>
        <v>0</v>
      </c>
      <c r="S32" s="1503">
        <f t="shared" ca="1" si="12"/>
        <v>0</v>
      </c>
      <c r="T32" s="1108">
        <f t="shared" ca="1" si="12"/>
        <v>0</v>
      </c>
      <c r="U32" s="1334">
        <f t="shared" ca="1" si="12"/>
        <v>0</v>
      </c>
      <c r="V32" s="1140">
        <f t="shared" ca="1" si="12"/>
        <v>0</v>
      </c>
      <c r="W32" s="1106">
        <f t="shared" ca="1" si="12"/>
        <v>0</v>
      </c>
      <c r="X32" s="1141">
        <f t="shared" ca="1" si="12"/>
        <v>0</v>
      </c>
      <c r="Y32" s="1107">
        <f t="shared" ca="1" si="12"/>
        <v>0</v>
      </c>
      <c r="Z32" s="1107">
        <f t="shared" ca="1" si="12"/>
        <v>0</v>
      </c>
      <c r="AA32" s="1107">
        <f t="shared" ca="1" si="12"/>
        <v>0</v>
      </c>
      <c r="AB32" s="1107">
        <f t="shared" ca="1" si="12"/>
        <v>0</v>
      </c>
      <c r="AC32" s="1107">
        <f t="shared" ca="1" si="12"/>
        <v>0</v>
      </c>
      <c r="AD32" s="1142">
        <f t="shared" ca="1" si="12"/>
        <v>0</v>
      </c>
      <c r="AE32" s="1142">
        <f t="shared" ca="1" si="12"/>
        <v>0</v>
      </c>
      <c r="AF32" s="1108">
        <f t="shared" ca="1" si="12"/>
        <v>0</v>
      </c>
      <c r="AG32" s="1143">
        <f t="shared" ca="1" si="12"/>
        <v>0</v>
      </c>
      <c r="AH32" s="1142">
        <f t="shared" ca="1" si="12"/>
        <v>0</v>
      </c>
      <c r="AI32" s="1108">
        <f t="shared" ca="1" si="12"/>
        <v>0</v>
      </c>
      <c r="AJ32" s="1106">
        <f t="shared" ca="1" si="12"/>
        <v>0</v>
      </c>
      <c r="AK32" s="1106">
        <f t="shared" ca="1" si="12"/>
        <v>0</v>
      </c>
      <c r="AL32" s="1106">
        <f t="shared" ca="1" si="12"/>
        <v>0</v>
      </c>
      <c r="AM32" s="1108">
        <f t="shared" ca="1" si="12"/>
        <v>0</v>
      </c>
      <c r="AN32" s="1106">
        <f t="shared" ca="1" si="12"/>
        <v>0</v>
      </c>
      <c r="AO32" s="1106">
        <f t="shared" ca="1" si="12"/>
        <v>0</v>
      </c>
      <c r="AP32" s="1134" t="e">
        <f ca="1">INDIRECT("Datos!CI"&amp;ROW()-1)/INDIRECT("Datos!CJ"&amp;ROW()-1)</f>
        <v>#DIV/0!</v>
      </c>
      <c r="AQ32" s="1134" t="e">
        <f ca="1">IF(OR(ISNUMBER(FIND("01",Criterios!A8,1)),ISNUMBER(FIND("02",Criterios!A8,1)),ISNUMBER(FIND("03",Criterios!A8,1)),ISNUMBER(FIND("04",Criterios!A8,1))),(J32-Y32+K32)/(F32-K32),(I32-Y32+K32)/(F32-K32))</f>
        <v>#DIV/0!</v>
      </c>
      <c r="AR32" s="1144">
        <f ca="1">IF(ISNUMBER(SUMIF($B8:$B30,$B32,AR8:AR30)/INDIRECT("Datos!AP"&amp;ROW()-1)),SUMIF($B8:$B30,$B32,AR8:AR30)/INDIRECT("Datos!AP"&amp;ROW()-1),"-")</f>
        <v>0</v>
      </c>
      <c r="AS32" s="1145">
        <f ca="1">IF(ISNUMBER(SUMIF($B8:$B30,$B32,AS8:AS30)/INDIRECT("Datos!AP"&amp;ROW()-1)),SUMIF($B8:$B30,$B32,AS8:AS30)/INDIRECT("Datos!AP"&amp;ROW()-1),"-")</f>
        <v>0</v>
      </c>
      <c r="AT32" s="1145">
        <f ca="1">IF(ISNUMBER(SUMIF($B8:$B30,$B32,AT8:AT30)/INDIRECT("Datos!AP"&amp;ROW()-1)),SUMIF($B8:$B30,$B32,AT8:AT30)/INDIRECT("Datos!AP"&amp;ROW()-1),"-")</f>
        <v>0</v>
      </c>
      <c r="AU32" s="1145">
        <f ca="1">IF(ISNUMBER(SUMIF($B8:$B30,$B32,AU8:AU30)/INDIRECT("Datos!AP"&amp;ROW()-1)),SUMIF($B8:$B30,$B32,AU8:AU30)/INDIRECT("Datos!AP"&amp;ROW()-1),"-")</f>
        <v>0</v>
      </c>
      <c r="AV32" s="1145">
        <f ca="1">IF(ISNUMBER(SUMIF($B8:$B30,$B32,AV8:AV30)/INDIRECT("Datos!AP"&amp;ROW()-1)),SUMIF($B8:$B30,$B32,AV8:AV30)/INDIRECT("Datos!AP"&amp;ROW()-1),"-")</f>
        <v>0</v>
      </c>
      <c r="AW32" s="1145"/>
      <c r="BT32" s="1239"/>
    </row>
    <row r="33" spans="1:72" ht="18.75" hidden="1" customHeight="1" thickTop="1" thickBot="1">
      <c r="A33" s="181"/>
      <c r="B33" s="181"/>
      <c r="C33" s="653" t="s">
        <v>345</v>
      </c>
      <c r="D33" s="385"/>
      <c r="E33" s="719"/>
      <c r="F33" s="276">
        <f>IF(ISNUMBER(STDEV(F8:F30)),STDEV(F8:F30),"-")</f>
        <v>3090.0739581224698</v>
      </c>
      <c r="G33" s="678">
        <f>IF(ISNUMBER(STDEV(G8:G30)),STDEV(G8:G30),"-")</f>
        <v>2739.9780934126011</v>
      </c>
      <c r="H33" s="279"/>
      <c r="I33" s="276">
        <f>IF(ISNUMBER(STDEV(I8:I30)),STDEV(I8:I30),"-")</f>
        <v>0</v>
      </c>
      <c r="J33" s="278">
        <f>IF(ISNUMBER(STDEV(J8:J30)),STDEV(J8:J30),"-")</f>
        <v>0</v>
      </c>
      <c r="K33" s="760"/>
      <c r="L33" s="760"/>
      <c r="M33" s="760"/>
      <c r="N33" s="279"/>
      <c r="O33" s="279"/>
      <c r="P33" s="1504"/>
      <c r="Q33" s="1504"/>
      <c r="R33" s="279"/>
      <c r="S33" s="1506"/>
      <c r="T33" s="329"/>
      <c r="U33" s="1335"/>
      <c r="V33" s="760"/>
      <c r="W33" s="276">
        <f>IF(ISNUMBER(STDEV(W8:W30)),STDEV(W8:W30),"-")</f>
        <v>0</v>
      </c>
      <c r="X33" s="346">
        <f>IF(ISNUMBER(STDEV(X8:X30)),STDEV(X8:X30),"-")</f>
        <v>0</v>
      </c>
      <c r="Y33" s="307"/>
      <c r="Z33" s="307"/>
      <c r="AA33" s="307"/>
      <c r="AB33" s="307"/>
      <c r="AC33" s="307"/>
      <c r="AD33" s="307"/>
      <c r="AE33" s="307"/>
      <c r="AF33" s="278">
        <f>IF(ISNUMBER(STDEV(AF8:AF30)),STDEV(AF8:AF30),"-")</f>
        <v>0</v>
      </c>
      <c r="AG33" s="279">
        <f>IF(ISNUMBER(STDEV(AG8:AG30)),STDEV(AG8:AG30),"-")</f>
        <v>0</v>
      </c>
      <c r="AH33" s="307">
        <f>IF(ISNUMBER(STDEV(AH8:AH30)),STDEV(AH8:AH30),"-")</f>
        <v>0</v>
      </c>
      <c r="AI33" s="323"/>
      <c r="AJ33" s="276">
        <f>IF(ISNUMBER(STDEV(AJ8:AJ30)),STDEV(AJ8:AJ30),"-")</f>
        <v>4395.6806008221802</v>
      </c>
      <c r="AK33" s="276"/>
      <c r="AL33" s="276">
        <f>IF(ISNUMBER(STDEV(AL8:AL30)),STDEV(AL8:AL30),"-")</f>
        <v>0</v>
      </c>
      <c r="AM33" s="278">
        <f>IF(ISNUMBER(STDEV(AM8:AM30)),STDEV(AM8:AM30),"-")</f>
        <v>0</v>
      </c>
      <c r="AN33" s="664">
        <f>IF(ISNUMBER(STDEV(AN8:AN30)),STDEV(AN8:AN30),"-")</f>
        <v>0</v>
      </c>
      <c r="AO33" s="665">
        <f>IF(ISNUMBER(STDEV(AO8:AO30)),STDEV(AO8:AO30),"-")</f>
        <v>2.6209482908156474</v>
      </c>
      <c r="AP33" s="666" t="str">
        <f>IF(ISNUMBER(STDEV(AP8:AP30)),STDEV(AP8:AP30),"-")</f>
        <v>-</v>
      </c>
      <c r="AQ33" s="323"/>
      <c r="AR33" s="323"/>
      <c r="AS33" s="323"/>
      <c r="AT33" s="323"/>
      <c r="AU33" s="323"/>
      <c r="AV33" s="329">
        <f>IF(ISNUMBER(STDEV(AV8:AV30)),STDEV(AV8:AV30),"-")</f>
        <v>0</v>
      </c>
      <c r="AW33" s="667">
        <f>IF(ISNUMBER(STDEV(AW8:AW30)),STDEV(AW8:AW30),"-")</f>
        <v>0</v>
      </c>
      <c r="BT33" s="689">
        <f>IF(ISNUMBER(STDEV(BT8:BT30)),STDEV(BT8:BT30),"-")</f>
        <v>1360.174036483497</v>
      </c>
    </row>
    <row r="34" spans="1:72" ht="12" customHeight="1" thickTop="1" thickBot="1">
      <c r="C34" s="654"/>
      <c r="D34" s="76"/>
      <c r="E34" s="76"/>
      <c r="F34" s="668"/>
      <c r="G34" s="691"/>
      <c r="H34" s="668"/>
      <c r="I34" s="668"/>
      <c r="K34" s="761"/>
      <c r="L34" s="761"/>
      <c r="M34" s="761"/>
      <c r="N34" s="668"/>
      <c r="O34" s="668"/>
      <c r="P34" s="1505"/>
      <c r="Q34" s="1505"/>
      <c r="R34" s="734"/>
      <c r="S34" s="1505"/>
      <c r="T34" s="102"/>
      <c r="U34" s="816"/>
      <c r="V34" s="761"/>
      <c r="W34" s="668"/>
      <c r="X34" s="669"/>
      <c r="Y34" s="734"/>
      <c r="Z34" s="734"/>
      <c r="AA34" s="668"/>
      <c r="AB34" s="668"/>
      <c r="AC34" s="668"/>
      <c r="AD34" s="668"/>
      <c r="AE34" s="668"/>
      <c r="AF34" s="668"/>
      <c r="AG34" s="668"/>
      <c r="AH34" s="668"/>
      <c r="AI34" s="668"/>
      <c r="AJ34" s="668"/>
      <c r="AK34" s="668"/>
      <c r="AL34" s="668"/>
      <c r="AM34" s="668"/>
      <c r="AN34" s="668"/>
      <c r="AO34" s="668"/>
      <c r="AP34" s="669"/>
      <c r="AQ34" s="734"/>
      <c r="AR34" s="734"/>
      <c r="AS34" s="734"/>
      <c r="AT34" s="734"/>
      <c r="AU34" s="734"/>
      <c r="AV34" s="670"/>
      <c r="AW34" s="671"/>
      <c r="BT34" s="695"/>
    </row>
    <row r="35" spans="1:72" ht="15" thickBot="1">
      <c r="C35" s="569"/>
      <c r="D35" s="662"/>
      <c r="E35" s="662"/>
      <c r="F35" s="672"/>
      <c r="G35" s="672"/>
      <c r="H35" s="672"/>
      <c r="I35" s="672"/>
      <c r="J35" s="672"/>
      <c r="K35" s="762"/>
      <c r="L35" s="762"/>
      <c r="M35" s="762"/>
      <c r="N35" s="672"/>
      <c r="O35" s="672"/>
      <c r="P35" s="674"/>
      <c r="Q35" s="674"/>
      <c r="R35" s="735"/>
      <c r="S35" s="1507"/>
      <c r="T35" s="1380"/>
      <c r="U35" s="673"/>
      <c r="V35" s="1379"/>
      <c r="W35" s="672"/>
      <c r="X35" s="674"/>
      <c r="Y35" s="735"/>
      <c r="Z35" s="735"/>
      <c r="AA35" s="672"/>
      <c r="AB35" s="672"/>
      <c r="AC35" s="672"/>
      <c r="AD35" s="672"/>
      <c r="AE35" s="672"/>
      <c r="AF35" s="675"/>
      <c r="AG35" s="672"/>
      <c r="AH35" s="672"/>
      <c r="AI35" s="672"/>
      <c r="AJ35" s="672"/>
      <c r="AK35" s="672"/>
      <c r="AL35" s="672"/>
      <c r="AM35" s="672"/>
      <c r="AN35" s="672"/>
      <c r="AO35" s="672"/>
      <c r="AP35" s="673"/>
      <c r="AQ35" s="735"/>
      <c r="AR35" s="735"/>
      <c r="AS35" s="735"/>
      <c r="AT35" s="735"/>
      <c r="AU35" s="735"/>
      <c r="AV35" s="676"/>
      <c r="AW35" s="676"/>
      <c r="BT35" s="700"/>
    </row>
    <row r="36" spans="1:72" ht="15" thickBot="1">
      <c r="C36" s="569"/>
      <c r="D36" s="662"/>
      <c r="E36" s="662"/>
      <c r="F36" s="672"/>
      <c r="G36" s="672"/>
      <c r="H36" s="672"/>
      <c r="I36" s="672"/>
      <c r="J36" s="672"/>
      <c r="K36" s="762"/>
      <c r="L36" s="762"/>
      <c r="M36" s="762"/>
      <c r="N36" s="672"/>
      <c r="O36" s="672"/>
      <c r="P36" s="674"/>
      <c r="Q36" s="674"/>
      <c r="R36" s="735"/>
      <c r="S36" s="1507"/>
      <c r="T36" s="672"/>
      <c r="U36" s="673"/>
      <c r="V36" s="1379"/>
      <c r="W36" s="672"/>
      <c r="X36" s="674"/>
      <c r="Y36" s="735"/>
      <c r="Z36" s="735"/>
      <c r="AA36" s="672"/>
      <c r="AB36" s="672"/>
      <c r="AC36" s="672"/>
      <c r="AD36" s="672"/>
      <c r="AE36" s="672"/>
      <c r="AF36" s="675"/>
      <c r="AG36" s="672"/>
      <c r="AH36" s="672"/>
      <c r="AI36" s="672"/>
      <c r="AJ36" s="672"/>
      <c r="AK36" s="672"/>
      <c r="AL36" s="672"/>
      <c r="AM36" s="672"/>
      <c r="AN36" s="672"/>
      <c r="AO36" s="672"/>
      <c r="AP36" s="673"/>
      <c r="AQ36" s="735"/>
      <c r="AR36" s="735"/>
      <c r="AS36" s="735"/>
      <c r="AT36" s="735"/>
      <c r="AU36" s="735"/>
      <c r="AV36" s="676"/>
      <c r="AW36" s="676"/>
      <c r="BT36" s="700"/>
    </row>
    <row r="37" spans="1:72" ht="12.75" hidden="1" customHeight="1">
      <c r="C37" s="320" t="s">
        <v>342</v>
      </c>
      <c r="D37" s="663"/>
      <c r="E37" s="720">
        <f t="shared" ref="E37:O37" si="13">E35+2*E36</f>
        <v>0</v>
      </c>
      <c r="F37" s="606">
        <f t="shared" si="13"/>
        <v>0</v>
      </c>
      <c r="G37" s="631">
        <f t="shared" si="13"/>
        <v>0</v>
      </c>
      <c r="H37" s="645">
        <f t="shared" si="13"/>
        <v>0</v>
      </c>
      <c r="I37" s="645">
        <f t="shared" si="13"/>
        <v>0</v>
      </c>
      <c r="J37" s="155">
        <f t="shared" si="13"/>
        <v>0</v>
      </c>
      <c r="K37" s="645">
        <f t="shared" si="13"/>
        <v>0</v>
      </c>
      <c r="L37" s="645">
        <f t="shared" si="13"/>
        <v>0</v>
      </c>
      <c r="M37" s="645">
        <f t="shared" si="13"/>
        <v>0</v>
      </c>
      <c r="N37" s="645">
        <f t="shared" si="13"/>
        <v>0</v>
      </c>
      <c r="O37" s="645">
        <f t="shared" si="13"/>
        <v>0</v>
      </c>
      <c r="P37" s="646">
        <f t="shared" ref="P37:Z37" si="14">P35+2*P36</f>
        <v>0</v>
      </c>
      <c r="Q37" s="646">
        <f t="shared" si="14"/>
        <v>0</v>
      </c>
      <c r="R37" s="645">
        <f t="shared" si="14"/>
        <v>0</v>
      </c>
      <c r="S37" s="805">
        <f t="shared" si="14"/>
        <v>0</v>
      </c>
      <c r="T37" s="808">
        <f t="shared" si="14"/>
        <v>0</v>
      </c>
      <c r="U37" s="805">
        <f t="shared" si="14"/>
        <v>0</v>
      </c>
      <c r="V37" s="808">
        <f>V35+2*V36</f>
        <v>0</v>
      </c>
      <c r="W37" s="645">
        <f t="shared" si="14"/>
        <v>0</v>
      </c>
      <c r="X37" s="646">
        <f t="shared" si="14"/>
        <v>0</v>
      </c>
      <c r="Y37" s="725">
        <f t="shared" si="14"/>
        <v>0</v>
      </c>
      <c r="Z37" s="725">
        <f t="shared" si="14"/>
        <v>0</v>
      </c>
      <c r="AA37" s="645">
        <f t="shared" ref="AA37:AR37" si="15">AA35+2*AA36</f>
        <v>0</v>
      </c>
      <c r="AB37" s="645">
        <f t="shared" si="15"/>
        <v>0</v>
      </c>
      <c r="AC37" s="645">
        <f t="shared" si="15"/>
        <v>0</v>
      </c>
      <c r="AD37" s="645">
        <f t="shared" si="15"/>
        <v>0</v>
      </c>
      <c r="AE37" s="645">
        <f t="shared" si="15"/>
        <v>0</v>
      </c>
      <c r="AF37" s="645">
        <f t="shared" si="15"/>
        <v>0</v>
      </c>
      <c r="AG37" s="645">
        <f t="shared" si="15"/>
        <v>0</v>
      </c>
      <c r="AH37" s="645">
        <f t="shared" si="15"/>
        <v>0</v>
      </c>
      <c r="AI37" s="645">
        <f t="shared" si="15"/>
        <v>0</v>
      </c>
      <c r="AJ37" s="645">
        <f t="shared" si="15"/>
        <v>0</v>
      </c>
      <c r="AK37" s="645">
        <f t="shared" si="15"/>
        <v>0</v>
      </c>
      <c r="AL37" s="645">
        <f t="shared" si="15"/>
        <v>0</v>
      </c>
      <c r="AM37" s="645">
        <f t="shared" si="15"/>
        <v>0</v>
      </c>
      <c r="AN37" s="655">
        <f t="shared" si="15"/>
        <v>0</v>
      </c>
      <c r="AO37" s="655">
        <f t="shared" si="15"/>
        <v>0</v>
      </c>
      <c r="AP37" s="646">
        <f t="shared" si="15"/>
        <v>0</v>
      </c>
      <c r="AQ37" s="646">
        <f t="shared" si="15"/>
        <v>0</v>
      </c>
      <c r="AR37" s="646">
        <f t="shared" si="15"/>
        <v>0</v>
      </c>
      <c r="AS37" s="725">
        <f>AS35+2*AS36</f>
        <v>0</v>
      </c>
      <c r="AT37" s="725">
        <f>AT35+2*AT36</f>
        <v>0</v>
      </c>
      <c r="AU37" s="725">
        <f>AU35+2*AU36</f>
        <v>0</v>
      </c>
      <c r="AV37" s="645">
        <f>(AV35-ultimoDiaTrim)+2*AV36</f>
        <v>0</v>
      </c>
      <c r="AW37" s="656"/>
      <c r="BT37" s="648"/>
    </row>
    <row r="38" spans="1:72" ht="12.75" hidden="1" customHeight="1">
      <c r="C38" s="320" t="s">
        <v>343</v>
      </c>
      <c r="D38" s="663"/>
      <c r="E38" s="599">
        <f>MIN(0,F35-2*F36)</f>
        <v>0</v>
      </c>
      <c r="F38" s="602">
        <f>MIN(0,I35-2*I36)</f>
        <v>0</v>
      </c>
      <c r="G38" s="631">
        <f>MIN(0,G35-2*G36)</f>
        <v>0</v>
      </c>
      <c r="H38" s="598">
        <f>MIN(0,H35-2*H36)</f>
        <v>0</v>
      </c>
      <c r="I38" s="598">
        <f>MIN(0,I35-2*I36)</f>
        <v>0</v>
      </c>
      <c r="J38" s="156">
        <f>MIN(0,J35-2*J36)</f>
        <v>0</v>
      </c>
      <c r="K38" s="598">
        <f t="shared" ref="K38:U38" si="16">MIN(0,K35-2*K36)</f>
        <v>0</v>
      </c>
      <c r="L38" s="598">
        <f t="shared" si="16"/>
        <v>0</v>
      </c>
      <c r="M38" s="598">
        <f t="shared" si="16"/>
        <v>0</v>
      </c>
      <c r="N38" s="598">
        <f t="shared" si="16"/>
        <v>0</v>
      </c>
      <c r="O38" s="598">
        <f t="shared" si="16"/>
        <v>0</v>
      </c>
      <c r="P38" s="647">
        <f t="shared" si="16"/>
        <v>0</v>
      </c>
      <c r="Q38" s="647">
        <f t="shared" si="16"/>
        <v>0</v>
      </c>
      <c r="R38" s="598">
        <f t="shared" si="16"/>
        <v>0</v>
      </c>
      <c r="S38" s="806">
        <f t="shared" si="16"/>
        <v>0</v>
      </c>
      <c r="T38" s="601">
        <f t="shared" si="16"/>
        <v>0</v>
      </c>
      <c r="U38" s="806">
        <f t="shared" si="16"/>
        <v>0</v>
      </c>
      <c r="V38" s="601">
        <f>MIN(0,V35-2*V36)</f>
        <v>0</v>
      </c>
      <c r="W38" s="598">
        <f>MIN(0,W35-2*W36)</f>
        <v>0</v>
      </c>
      <c r="X38" s="647">
        <f>MIN(0,X35-2*X36)</f>
        <v>0</v>
      </c>
      <c r="Y38" s="715">
        <f>MIN(0,Y35-2*Y36)</f>
        <v>0</v>
      </c>
      <c r="Z38" s="715">
        <f>MIN(0,Z35-2*Z36)</f>
        <v>0</v>
      </c>
      <c r="AA38" s="598">
        <f t="shared" ref="AA38:AH38" si="17">MIN(0,AA35-2*AA36)</f>
        <v>0</v>
      </c>
      <c r="AB38" s="598">
        <f t="shared" si="17"/>
        <v>0</v>
      </c>
      <c r="AC38" s="598">
        <f t="shared" si="17"/>
        <v>0</v>
      </c>
      <c r="AD38" s="598">
        <f t="shared" si="17"/>
        <v>0</v>
      </c>
      <c r="AE38" s="598">
        <f t="shared" si="17"/>
        <v>0</v>
      </c>
      <c r="AF38" s="598">
        <f t="shared" si="17"/>
        <v>0</v>
      </c>
      <c r="AG38" s="598">
        <f t="shared" si="17"/>
        <v>0</v>
      </c>
      <c r="AH38" s="598">
        <f t="shared" si="17"/>
        <v>0</v>
      </c>
      <c r="AI38" s="598">
        <f>MIN(0,AI35-2*AI36)</f>
        <v>0</v>
      </c>
      <c r="AJ38" s="598">
        <f t="shared" ref="AJ38:AR38" si="18">MIN(0,AJ35-2*AJ36)</f>
        <v>0</v>
      </c>
      <c r="AK38" s="598">
        <f t="shared" si="18"/>
        <v>0</v>
      </c>
      <c r="AL38" s="598">
        <f t="shared" si="18"/>
        <v>0</v>
      </c>
      <c r="AM38" s="598">
        <f t="shared" si="18"/>
        <v>0</v>
      </c>
      <c r="AN38" s="641">
        <f t="shared" si="18"/>
        <v>0</v>
      </c>
      <c r="AO38" s="641">
        <f t="shared" si="18"/>
        <v>0</v>
      </c>
      <c r="AP38" s="647">
        <f t="shared" si="18"/>
        <v>0</v>
      </c>
      <c r="AQ38" s="647">
        <f t="shared" si="18"/>
        <v>0</v>
      </c>
      <c r="AR38" s="647">
        <f t="shared" si="18"/>
        <v>0</v>
      </c>
      <c r="AS38" s="715">
        <f>MIN(0,AS35-2*AS36)</f>
        <v>0</v>
      </c>
      <c r="AT38" s="715">
        <f>MIN(0,AT35-2*AT36)</f>
        <v>0</v>
      </c>
      <c r="AU38" s="715">
        <f>MIN(0,AU35-2*AU36)</f>
        <v>0</v>
      </c>
      <c r="AV38" s="598">
        <f>MIN(0,(AV35-ultimoDiaTrim)-2*AV36)</f>
        <v>0</v>
      </c>
      <c r="AW38" s="648"/>
      <c r="BT38" s="648"/>
    </row>
    <row r="39" spans="1:72">
      <c r="C39" s="657"/>
      <c r="D39" s="74"/>
      <c r="E39" s="74"/>
    </row>
    <row r="42" spans="1:72">
      <c r="C42" s="658" t="str">
        <f>Criterios!A4</f>
        <v>Fecha Informe: 05 abr. 2022</v>
      </c>
    </row>
    <row r="43" spans="1:72">
      <c r="V43" s="1381"/>
    </row>
    <row r="44" spans="1:72" ht="13.5" thickBot="1">
      <c r="C44" s="659"/>
      <c r="D44" s="649"/>
      <c r="E44" s="649"/>
    </row>
    <row r="45" spans="1:72" ht="15" thickBot="1">
      <c r="L45" s="672"/>
    </row>
  </sheetData>
  <sheetProtection algorithmName="SHA-512" hashValue="WW8M5mpGMXiIBohb9eJ1LMRB/S0LhwWopuA2Zd0od7px/i4TrLnV2pqjmADer0R2mbF/dVFwdd06NfwjUN+uPA==" saltValue="ZtMYEblK/o/JPRsdJZQeqQ==" spinCount="100000" sheet="1" objects="1" scenarios="1"/>
  <mergeCells count="49">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T5:BT7"/>
    <mergeCell ref="AA5:AA7"/>
    <mergeCell ref="AR5:AR7"/>
    <mergeCell ref="AT5:AT7"/>
    <mergeCell ref="AM5:AM7"/>
    <mergeCell ref="AK5:AK7"/>
    <mergeCell ref="AQ5:AQ7"/>
    <mergeCell ref="AF5:AF7"/>
    <mergeCell ref="AP5:AP7"/>
    <mergeCell ref="AW5:AW7"/>
    <mergeCell ref="AG5:AG7"/>
    <mergeCell ref="AS5:AS7"/>
    <mergeCell ref="AN5:AN7"/>
    <mergeCell ref="AO5:AO7"/>
    <mergeCell ref="AV5:AV7"/>
    <mergeCell ref="AU5:AU7"/>
  </mergeCells>
  <conditionalFormatting sqref="AO25 AO27:AO29 AO9:AO13 AO15:AO23">
    <cfRule type="cellIs" dxfId="1302" priority="667" stopIfTrue="1" operator="notBetween">
      <formula>$AO$37</formula>
      <formula>$AO$38</formula>
    </cfRule>
  </conditionalFormatting>
  <conditionalFormatting sqref="G10 G27:G29 G24:G25 G13 G19:G22">
    <cfRule type="cellIs" dxfId="1301" priority="512" stopIfTrue="1" operator="notBetween">
      <formula>$G$37</formula>
      <formula>$G$38</formula>
    </cfRule>
  </conditionalFormatting>
  <conditionalFormatting sqref="F33:F36 F9:F30">
    <cfRule type="expression" dxfId="1300" priority="370" stopIfTrue="1">
      <formula>IF(F9&lt;&gt;G9,TRUE,FALSE)</formula>
    </cfRule>
  </conditionalFormatting>
  <conditionalFormatting sqref="G30 G26 G23 G14">
    <cfRule type="expression" dxfId="1299" priority="2236" stopIfTrue="1">
      <formula>IF($G$9&lt;&gt;$F$9,TRUE,FALSE)</formula>
    </cfRule>
  </conditionalFormatting>
  <conditionalFormatting sqref="L25 L28:L29 L16:L22">
    <cfRule type="cellIs" dxfId="1298" priority="503" stopIfTrue="1" operator="notBetween">
      <formula>$L$37</formula>
      <formula>$L$38</formula>
    </cfRule>
  </conditionalFormatting>
  <conditionalFormatting sqref="I16:I20 I9:I10 I25 I13 I28:I29 I22">
    <cfRule type="cellIs" dxfId="1297" priority="443" stopIfTrue="1" operator="notBetween">
      <formula>$I$37</formula>
      <formula>$I$38</formula>
    </cfRule>
  </conditionalFormatting>
  <conditionalFormatting sqref="K9:K13 K16:K22 K25 K28:K29">
    <cfRule type="cellIs" dxfId="1296" priority="442" stopIfTrue="1" operator="notBetween">
      <formula>$K$37</formula>
      <formula>$K$38</formula>
    </cfRule>
  </conditionalFormatting>
  <conditionalFormatting sqref="M25 M9:M13 M28:M29 M16:M22">
    <cfRule type="cellIs" dxfId="1295" priority="441" stopIfTrue="1" operator="notBetween">
      <formula>$M$37</formula>
      <formula>$M$38</formula>
    </cfRule>
  </conditionalFormatting>
  <conditionalFormatting sqref="W25 W9:W13 W28:W29 W16:W22">
    <cfRule type="cellIs" dxfId="1294" priority="422" stopIfTrue="1" operator="notBetween">
      <formula>$W$37</formula>
      <formula>$W$38</formula>
    </cfRule>
  </conditionalFormatting>
  <conditionalFormatting sqref="X25 X28:X29 X9:X13 X16:X22">
    <cfRule type="cellIs" dxfId="1293" priority="421" stopIfTrue="1" operator="notBetween">
      <formula>$X$37</formula>
      <formula>$X$38</formula>
    </cfRule>
  </conditionalFormatting>
  <conditionalFormatting sqref="Y25 Y28:Y29 Y9:Y13 Y16:Y22">
    <cfRule type="cellIs" dxfId="1292" priority="420" stopIfTrue="1" operator="notBetween">
      <formula>$Y$37</formula>
      <formula>$Y$38</formula>
    </cfRule>
  </conditionalFormatting>
  <conditionalFormatting sqref="Z25 Z28:Z29 Z9:Z13 Z16:Z22">
    <cfRule type="cellIs" dxfId="1291" priority="419" stopIfTrue="1" operator="notBetween">
      <formula>$Z$37</formula>
      <formula>$Z$38</formula>
    </cfRule>
  </conditionalFormatting>
  <conditionalFormatting sqref="AB25 AB9:AB13 AB28:AB29 AB16:AB22">
    <cfRule type="cellIs" dxfId="1290" priority="418" stopIfTrue="1" operator="notBetween">
      <formula>$AB$37</formula>
      <formula>$AB$38</formula>
    </cfRule>
  </conditionalFormatting>
  <conditionalFormatting sqref="AC25 AC9:AC13 AC28:AC29 AC16:AC22">
    <cfRule type="cellIs" dxfId="1289" priority="417" stopIfTrue="1" operator="notBetween">
      <formula>$AC$37</formula>
      <formula>$AC$38</formula>
    </cfRule>
  </conditionalFormatting>
  <conditionalFormatting sqref="AD25 AD9:AD13 AD28:AD29 AD16:AD22">
    <cfRule type="cellIs" dxfId="1288" priority="415" stopIfTrue="1" operator="notBetween">
      <formula>$AD$37</formula>
      <formula>$AD$38</formula>
    </cfRule>
  </conditionalFormatting>
  <conditionalFormatting sqref="AE25 AE9:AE13 AE28:AE29 AE16:AE22">
    <cfRule type="cellIs" dxfId="1287" priority="414" stopIfTrue="1" operator="notBetween">
      <formula>$AE$37</formula>
      <formula>$AE$38</formula>
    </cfRule>
  </conditionalFormatting>
  <conditionalFormatting sqref="AF25 AF28:AF29 AF9:AF13 AF16:AF22">
    <cfRule type="cellIs" dxfId="1286" priority="413" stopIfTrue="1" operator="notBetween">
      <formula>$AF$37</formula>
      <formula>$AF$38</formula>
    </cfRule>
  </conditionalFormatting>
  <conditionalFormatting sqref="AG25 AG9:AG13 AG28:AG29 AG16:AG22">
    <cfRule type="cellIs" dxfId="1285" priority="412" stopIfTrue="1" operator="notBetween">
      <formula>$AG$37</formula>
      <formula>$AG$38</formula>
    </cfRule>
  </conditionalFormatting>
  <conditionalFormatting sqref="AH25 AH9:AH13 AH28:AH29 AH16:AH22">
    <cfRule type="cellIs" dxfId="1284" priority="411" stopIfTrue="1" operator="notBetween">
      <formula>$AH$37</formula>
      <formula>$AH$38</formula>
    </cfRule>
  </conditionalFormatting>
  <conditionalFormatting sqref="AI25 AI9:AI13 AI28:AI29 AI16:AI22">
    <cfRule type="cellIs" dxfId="1283" priority="410" stopIfTrue="1" operator="notBetween">
      <formula>$AI$37</formula>
      <formula>$AI$38</formula>
    </cfRule>
  </conditionalFormatting>
  <conditionalFormatting sqref="AJ25 AJ9:AJ13 AJ28:AJ29 AJ16:AJ22">
    <cfRule type="cellIs" dxfId="1282" priority="409" stopIfTrue="1" operator="notBetween">
      <formula>$AJ$37</formula>
      <formula>$AJ$38</formula>
    </cfRule>
  </conditionalFormatting>
  <conditionalFormatting sqref="AK25 AK9:AK13 AK28:AK29 AK16:AK22">
    <cfRule type="cellIs" dxfId="1281" priority="408" stopIfTrue="1" operator="notBetween">
      <formula>$AK$37</formula>
      <formula>$AK$38</formula>
    </cfRule>
  </conditionalFormatting>
  <conditionalFormatting sqref="AL25 AL9:AL13 AL28:AL29 AL16:AL22">
    <cfRule type="cellIs" dxfId="1280" priority="407" stopIfTrue="1" operator="notBetween">
      <formula>$AL$37</formula>
      <formula>$AL$38</formula>
    </cfRule>
  </conditionalFormatting>
  <conditionalFormatting sqref="AM25 AM9:AM13 AM28:AM29 AM16:AM22">
    <cfRule type="cellIs" dxfId="1279" priority="406" stopIfTrue="1" operator="notBetween">
      <formula>$AM$37</formula>
      <formula>$AM$38</formula>
    </cfRule>
  </conditionalFormatting>
  <conditionalFormatting sqref="AN25 AN28:AN29 AN9:AN13 AN16:AN22">
    <cfRule type="cellIs" dxfId="1278" priority="405" stopIfTrue="1" operator="notBetween">
      <formula>$AN$37</formula>
      <formula>$AN$38</formula>
    </cfRule>
  </conditionalFormatting>
  <conditionalFormatting sqref="AP25 AP9:AP13 AP28:AP29 AP16:AP22">
    <cfRule type="cellIs" dxfId="1277" priority="404" stopIfTrue="1" operator="notBetween">
      <formula>$AP$37</formula>
      <formula>$AP$38</formula>
    </cfRule>
  </conditionalFormatting>
  <conditionalFormatting sqref="AQ24:AQ25 AQ28:AQ29 AQ9:AQ13 AQ16:AQ22">
    <cfRule type="cellIs" dxfId="1276" priority="403" stopIfTrue="1" operator="notBetween">
      <formula>$AQ$37</formula>
      <formula>$AQ$38</formula>
    </cfRule>
  </conditionalFormatting>
  <conditionalFormatting sqref="AR25 AR28:AR29 AR9:AR13 AR16:AR22">
    <cfRule type="cellIs" dxfId="1275" priority="402" stopIfTrue="1" operator="notBetween">
      <formula>$AR$37</formula>
      <formula>$AR$38</formula>
    </cfRule>
  </conditionalFormatting>
  <conditionalFormatting sqref="AS24:AS25 AS9:AS13 AS28:AS29 AS16:AS22">
    <cfRule type="cellIs" dxfId="1274" priority="401" stopIfTrue="1" operator="notBetween">
      <formula>$AS$37</formula>
      <formula>$AS$38</formula>
    </cfRule>
  </conditionalFormatting>
  <conditionalFormatting sqref="AT25 AT9:AT13 AT28:AT29 AT16:AT22">
    <cfRule type="cellIs" dxfId="1273" priority="400" stopIfTrue="1" operator="notBetween">
      <formula>$AT$37</formula>
      <formula>$AT$38</formula>
    </cfRule>
  </conditionalFormatting>
  <conditionalFormatting sqref="AU25 AU9:AU13 AU28:AU29 AU16:AU22">
    <cfRule type="cellIs" dxfId="1272" priority="399" stopIfTrue="1" operator="notBetween">
      <formula>$AU$37</formula>
      <formula>$AU$38</formula>
    </cfRule>
  </conditionalFormatting>
  <conditionalFormatting sqref="N25 N9:N13 N28:N29 N16:N22">
    <cfRule type="cellIs" dxfId="1271" priority="398" stopIfTrue="1" operator="notBetween">
      <formula>$N$37</formula>
      <formula>$N$38</formula>
    </cfRule>
  </conditionalFormatting>
  <conditionalFormatting sqref="O25 O28:O29 O16:O22 O9:O13">
    <cfRule type="cellIs" dxfId="1270" priority="397" stopIfTrue="1" operator="notBetween">
      <formula>$O$37</formula>
      <formula>$O$38</formula>
    </cfRule>
  </conditionalFormatting>
  <conditionalFormatting sqref="H25 H9:H13 H28:H29 H16:H22">
    <cfRule type="cellIs" dxfId="1269" priority="395" stopIfTrue="1" operator="notBetween">
      <formula>$H$37</formula>
      <formula>$H$38</formula>
    </cfRule>
  </conditionalFormatting>
  <conditionalFormatting sqref="P25 P9:P13 P28:P29 P16:P22">
    <cfRule type="cellIs" dxfId="1268" priority="393" stopIfTrue="1" operator="notBetween">
      <formula>$P$37</formula>
      <formula>$P$38</formula>
    </cfRule>
  </conditionalFormatting>
  <conditionalFormatting sqref="Q25 Q9:Q13 Q28:Q29 Q16:Q22">
    <cfRule type="cellIs" dxfId="1267" priority="392" stopIfTrue="1" operator="notBetween">
      <formula>$Q$37</formula>
      <formula>$Q$38</formula>
    </cfRule>
  </conditionalFormatting>
  <conditionalFormatting sqref="R9:R13 R25 R28:R29 R16:R22">
    <cfRule type="cellIs" dxfId="1266" priority="391" stopIfTrue="1" operator="notBetween">
      <formula>$R$37</formula>
      <formula>$R$38</formula>
    </cfRule>
  </conditionalFormatting>
  <conditionalFormatting sqref="S9:S13 S16:S22 S25 S28:S29">
    <cfRule type="cellIs" dxfId="1265" priority="390" stopIfTrue="1" operator="notBetween">
      <formula>$S$37</formula>
      <formula>$S$38</formula>
    </cfRule>
  </conditionalFormatting>
  <conditionalFormatting sqref="F9:F13 F16:F22 F25 F28:F29">
    <cfRule type="cellIs" dxfId="1264" priority="2234" stopIfTrue="1" operator="notBetween">
      <formula>$F$37</formula>
      <formula>$F$38</formula>
    </cfRule>
  </conditionalFormatting>
  <conditionalFormatting sqref="AA25 AA28:AA29 AA9:AA13 AA16:AA22">
    <cfRule type="cellIs" dxfId="1263" priority="365" stopIfTrue="1" operator="notBetween">
      <formula>$AA$37</formula>
      <formula>$AA$38</formula>
    </cfRule>
  </conditionalFormatting>
  <conditionalFormatting sqref="V25 V9:V13 V28:V29 V16:V22">
    <cfRule type="cellIs" dxfId="1262" priority="328" stopIfTrue="1" operator="notBetween">
      <formula>$V$37</formula>
      <formula>$V$38</formula>
    </cfRule>
  </conditionalFormatting>
  <conditionalFormatting sqref="I11">
    <cfRule type="cellIs" dxfId="1261" priority="2528" stopIfTrue="1" operator="greaterThan">
      <formula>#REF!</formula>
    </cfRule>
    <cfRule type="cellIs" dxfId="1260" priority="2529" stopIfTrue="1" operator="lessThan">
      <formula>#REF!</formula>
    </cfRule>
  </conditionalFormatting>
  <conditionalFormatting sqref="I12">
    <cfRule type="cellIs" dxfId="1259" priority="2530" stopIfTrue="1" operator="greaterThan">
      <formula>#REF!</formula>
    </cfRule>
    <cfRule type="cellIs" dxfId="1258" priority="2531" stopIfTrue="1" operator="lessThan">
      <formula>#REF!</formula>
    </cfRule>
  </conditionalFormatting>
  <conditionalFormatting sqref="I21">
    <cfRule type="cellIs" dxfId="1257" priority="2532" stopIfTrue="1" operator="greaterThan">
      <formula>#REF!</formula>
    </cfRule>
    <cfRule type="cellIs" dxfId="1256" priority="2533" stopIfTrue="1" operator="lessThan">
      <formula>#REF!</formula>
    </cfRule>
  </conditionalFormatting>
  <conditionalFormatting sqref="H21">
    <cfRule type="cellIs" dxfId="1255" priority="2534" stopIfTrue="1" operator="greaterThan">
      <formula>#REF!</formula>
    </cfRule>
    <cfRule type="cellIs" dxfId="1254" priority="2535" stopIfTrue="1" operator="lessThan">
      <formula>#REF!</formula>
    </cfRule>
  </conditionalFormatting>
  <conditionalFormatting sqref="T9">
    <cfRule type="cellIs" dxfId="1253" priority="144" stopIfTrue="1" operator="greaterThan">
      <formula>$BT$9</formula>
    </cfRule>
    <cfRule type="cellIs" dxfId="1252" priority="145" stopIfTrue="1" operator="lessThan">
      <formula>$BT$9</formula>
    </cfRule>
  </conditionalFormatting>
  <conditionalFormatting sqref="T10">
    <cfRule type="cellIs" dxfId="1251" priority="140" stopIfTrue="1" operator="greaterThan">
      <formula>$BT$10</formula>
    </cfRule>
    <cfRule type="cellIs" dxfId="1250" priority="141" stopIfTrue="1" operator="lessThan">
      <formula>$BT$10</formula>
    </cfRule>
  </conditionalFormatting>
  <conditionalFormatting sqref="T11">
    <cfRule type="cellIs" dxfId="1249" priority="136" stopIfTrue="1" operator="greaterThan">
      <formula>$BT$11</formula>
    </cfRule>
    <cfRule type="cellIs" dxfId="1248" priority="137" stopIfTrue="1" operator="lessThan">
      <formula>$BT$11</formula>
    </cfRule>
  </conditionalFormatting>
  <conditionalFormatting sqref="T12">
    <cfRule type="cellIs" dxfId="1247" priority="134" stopIfTrue="1" operator="greaterThan">
      <formula>$BT$12</formula>
    </cfRule>
    <cfRule type="cellIs" dxfId="1246" priority="135" stopIfTrue="1" operator="lessThan">
      <formula>$BT$12</formula>
    </cfRule>
  </conditionalFormatting>
  <conditionalFormatting sqref="T13">
    <cfRule type="cellIs" dxfId="1245" priority="132" stopIfTrue="1" operator="greaterThan">
      <formula>$BT$13</formula>
    </cfRule>
    <cfRule type="cellIs" dxfId="1244" priority="133" stopIfTrue="1" operator="lessThan">
      <formula>$BT$13</formula>
    </cfRule>
  </conditionalFormatting>
  <conditionalFormatting sqref="T16">
    <cfRule type="cellIs" dxfId="1243" priority="120" stopIfTrue="1" operator="greaterThan">
      <formula>$BT$16</formula>
    </cfRule>
    <cfRule type="cellIs" dxfId="1242" priority="121" stopIfTrue="1" operator="lessThan">
      <formula>$BT$16</formula>
    </cfRule>
  </conditionalFormatting>
  <conditionalFormatting sqref="T17">
    <cfRule type="cellIs" dxfId="1241" priority="118" stopIfTrue="1" operator="greaterThan">
      <formula>$BT$17</formula>
    </cfRule>
    <cfRule type="cellIs" dxfId="1240" priority="119" stopIfTrue="1" operator="lessThan">
      <formula>$BT$17</formula>
    </cfRule>
  </conditionalFormatting>
  <conditionalFormatting sqref="T18">
    <cfRule type="cellIs" dxfId="1239" priority="116" stopIfTrue="1" operator="greaterThan">
      <formula>$BT$18</formula>
    </cfRule>
    <cfRule type="cellIs" dxfId="1238" priority="117" stopIfTrue="1" operator="lessThan">
      <formula>$BT$18</formula>
    </cfRule>
  </conditionalFormatting>
  <conditionalFormatting sqref="T19">
    <cfRule type="cellIs" dxfId="1237" priority="114" stopIfTrue="1" operator="greaterThan">
      <formula>$BT$19</formula>
    </cfRule>
    <cfRule type="cellIs" dxfId="1236" priority="115" stopIfTrue="1" operator="lessThan">
      <formula>$BT$19</formula>
    </cfRule>
  </conditionalFormatting>
  <conditionalFormatting sqref="T20">
    <cfRule type="cellIs" dxfId="1235" priority="112" stopIfTrue="1" operator="greaterThan">
      <formula>$BT$20</formula>
    </cfRule>
    <cfRule type="cellIs" dxfId="1234" priority="113" stopIfTrue="1" operator="lessThan">
      <formula>$BT$20</formula>
    </cfRule>
  </conditionalFormatting>
  <conditionalFormatting sqref="T21">
    <cfRule type="cellIs" dxfId="1233" priority="110" stopIfTrue="1" operator="greaterThan">
      <formula>$BT$21</formula>
    </cfRule>
    <cfRule type="cellIs" dxfId="1232" priority="111" stopIfTrue="1" operator="lessThan">
      <formula>$BT$21</formula>
    </cfRule>
  </conditionalFormatting>
  <conditionalFormatting sqref="T22">
    <cfRule type="cellIs" dxfId="1231" priority="108" stopIfTrue="1" operator="greaterThan">
      <formula>$BT$22</formula>
    </cfRule>
    <cfRule type="cellIs" dxfId="1230" priority="109" stopIfTrue="1" operator="lessThan">
      <formula>$BT$22</formula>
    </cfRule>
  </conditionalFormatting>
  <conditionalFormatting sqref="T25">
    <cfRule type="cellIs" dxfId="1229" priority="15" stopIfTrue="1" operator="greaterThan">
      <formula>#REF!</formula>
    </cfRule>
    <cfRule type="cellIs" dxfId="1228" priority="16" stopIfTrue="1" operator="lessThan">
      <formula>#REF!</formula>
    </cfRule>
  </conditionalFormatting>
  <conditionalFormatting sqref="T25">
    <cfRule type="cellIs" dxfId="1227" priority="13" stopIfTrue="1" operator="greaterThan">
      <formula>#REF!</formula>
    </cfRule>
    <cfRule type="cellIs" dxfId="1226" priority="14" stopIfTrue="1" operator="lessThan">
      <formula>#REF!</formula>
    </cfRule>
  </conditionalFormatting>
  <conditionalFormatting sqref="T28:T29">
    <cfRule type="cellIs" dxfId="1225" priority="11" stopIfTrue="1" operator="greaterThan">
      <formula>#REF!</formula>
    </cfRule>
    <cfRule type="cellIs" dxfId="1224" priority="12" stopIfTrue="1" operator="lessThan">
      <formula>#REF!</formula>
    </cfRule>
  </conditionalFormatting>
  <conditionalFormatting sqref="T28:T29">
    <cfRule type="cellIs" dxfId="1223" priority="9" stopIfTrue="1" operator="greaterThan">
      <formula>#REF!</formula>
    </cfRule>
    <cfRule type="cellIs" dxfId="1222" priority="10" stopIfTrue="1" operator="lessThan">
      <formula>#REF!</formula>
    </cfRule>
  </conditionalFormatting>
  <conditionalFormatting sqref="AV27:AV29 AV24:AV25 AV15:AV22 AV9:AV13">
    <cfRule type="expression" dxfId="1221" priority="4429" stopIfTrue="1">
      <formula>NOT(AND($AV9-ultimoDiaTrim&gt;=$AV$38,$AV9-ultimoDiaTrim&lt;=$AV$37))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816"/>
      <c r="I1" s="816"/>
      <c r="J1" s="816"/>
    </row>
    <row r="2" spans="1:18">
      <c r="A2" s="532"/>
      <c r="B2" s="532"/>
      <c r="C2" s="437"/>
      <c r="D2" s="437"/>
      <c r="E2" s="437"/>
      <c r="F2" s="437"/>
      <c r="G2" s="437"/>
      <c r="H2" s="817"/>
      <c r="I2" s="817"/>
      <c r="J2" s="817"/>
      <c r="K2" s="436"/>
      <c r="L2" s="436"/>
      <c r="M2" s="436"/>
      <c r="N2" s="436"/>
      <c r="O2" s="436"/>
      <c r="P2" s="436"/>
      <c r="Q2" s="436"/>
    </row>
    <row r="3" spans="1:18" s="822" customFormat="1" ht="18.75" thickBot="1">
      <c r="A3" s="818"/>
      <c r="B3" s="818"/>
      <c r="C3" s="819" t="s">
        <v>840</v>
      </c>
      <c r="D3" s="819"/>
      <c r="E3" s="819"/>
      <c r="F3" s="819"/>
      <c r="G3" s="819" t="str">
        <f xml:space="preserve"> "Año: " &amp; Año &amp; "  Trimestres " &amp; TrimIni &amp; " al " &amp; TrimFin</f>
        <v>Año: 2021  Trimestres 1 al 4</v>
      </c>
      <c r="H3" s="820"/>
      <c r="I3" s="820"/>
      <c r="J3" s="820"/>
      <c r="K3" s="821"/>
      <c r="L3" s="821"/>
      <c r="M3" s="821"/>
      <c r="N3" s="821"/>
      <c r="O3" s="821"/>
      <c r="P3" s="821"/>
      <c r="Q3" s="821"/>
    </row>
    <row r="4" spans="1:18" ht="42" customHeight="1" thickBot="1">
      <c r="A4" s="1898" t="s">
        <v>841</v>
      </c>
      <c r="B4" s="1898" t="s">
        <v>951</v>
      </c>
      <c r="C4" s="1898" t="s">
        <v>842</v>
      </c>
      <c r="D4" s="1898" t="s">
        <v>909</v>
      </c>
      <c r="E4" s="1900" t="s">
        <v>910</v>
      </c>
      <c r="F4" s="1898" t="s">
        <v>843</v>
      </c>
      <c r="G4" s="1900" t="s">
        <v>601</v>
      </c>
      <c r="H4" s="1893" t="s">
        <v>844</v>
      </c>
      <c r="I4" s="1893" t="s">
        <v>845</v>
      </c>
      <c r="J4" s="1893" t="s">
        <v>846</v>
      </c>
      <c r="K4" s="1895" t="s">
        <v>352</v>
      </c>
      <c r="L4" s="1896"/>
      <c r="M4" s="1896"/>
      <c r="N4" s="1897"/>
      <c r="O4" s="1895" t="s">
        <v>596</v>
      </c>
      <c r="P4" s="1896"/>
      <c r="Q4" s="1896"/>
      <c r="R4" s="1897"/>
    </row>
    <row r="5" spans="1:18" ht="27.75" customHeight="1" thickBot="1">
      <c r="A5" s="1899"/>
      <c r="B5" s="1899"/>
      <c r="C5" s="1899"/>
      <c r="D5" s="1899"/>
      <c r="E5" s="1899"/>
      <c r="F5" s="1899"/>
      <c r="G5" s="1899"/>
      <c r="H5" s="1894"/>
      <c r="I5" s="1894"/>
      <c r="J5" s="1894"/>
      <c r="K5" s="1146" t="s">
        <v>597</v>
      </c>
      <c r="L5" s="1146" t="s">
        <v>598</v>
      </c>
      <c r="M5" s="1146" t="s">
        <v>599</v>
      </c>
      <c r="N5" s="1146" t="s">
        <v>600</v>
      </c>
      <c r="O5" s="1147" t="s">
        <v>597</v>
      </c>
      <c r="P5" s="1146" t="s">
        <v>598</v>
      </c>
      <c r="Q5" s="1146" t="s">
        <v>599</v>
      </c>
      <c r="R5" s="1146" t="s">
        <v>600</v>
      </c>
    </row>
  </sheetData>
  <sheetProtection algorithmName="SHA-512" hashValue="fjxRPeirqBkJGM8zTqjjMwb1qp082cwLJXTxOCgeh8F3OtHuMbqf9XGppRFmEYX/U9E17a7BDdLjS20GMPFQSg==" saltValue="T3BH+6lBAwJ1xqyUjBmc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U39"/>
  <sheetViews>
    <sheetView topLeftCell="EK1" zoomScale="85" zoomScaleNormal="85" workbookViewId="0">
      <selection activeCell="EO12" sqref="EO12"/>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41"/>
    <col min="126" max="141" width="11.42578125" style="8"/>
    <col min="142" max="144" width="11.42578125" style="853"/>
    <col min="145" max="149" width="11.42578125" style="8"/>
    <col min="150" max="151" width="11.42578125" style="853"/>
    <col min="152" max="16384" width="11.42578125" style="8"/>
  </cols>
  <sheetData>
    <row r="1" spans="1:151" ht="13.5" thickBot="1">
      <c r="H1" s="305" t="s">
        <v>519</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222</v>
      </c>
      <c r="AO1" s="31" t="s">
        <v>118</v>
      </c>
      <c r="AP1" s="53" t="s">
        <v>122</v>
      </c>
      <c r="AQ1" s="32" t="s">
        <v>150</v>
      </c>
      <c r="AR1" s="31" t="s">
        <v>151</v>
      </c>
      <c r="AS1" s="53" t="s">
        <v>152</v>
      </c>
      <c r="AT1" s="32" t="s">
        <v>153</v>
      </c>
      <c r="AU1" s="31" t="s">
        <v>157</v>
      </c>
      <c r="AV1" s="53" t="s">
        <v>158</v>
      </c>
      <c r="AW1" s="32" t="s">
        <v>159</v>
      </c>
      <c r="AX1" s="31" t="s">
        <v>160</v>
      </c>
      <c r="AY1" s="53" t="s">
        <v>161</v>
      </c>
      <c r="AZ1" s="32" t="s">
        <v>178</v>
      </c>
      <c r="BA1" s="31" t="s">
        <v>186</v>
      </c>
      <c r="BB1" s="53" t="s">
        <v>197</v>
      </c>
      <c r="BC1" s="32" t="s">
        <v>282</v>
      </c>
      <c r="BD1" s="31" t="s">
        <v>206</v>
      </c>
      <c r="BE1" s="53" t="s">
        <v>220</v>
      </c>
      <c r="BF1" s="32" t="s">
        <v>221</v>
      </c>
      <c r="BG1" s="31" t="s">
        <v>277</v>
      </c>
      <c r="BH1" s="53" t="s">
        <v>278</v>
      </c>
      <c r="BI1" s="32" t="s">
        <v>285</v>
      </c>
      <c r="BJ1" s="31" t="s">
        <v>301</v>
      </c>
      <c r="BK1" s="53" t="s">
        <v>306</v>
      </c>
      <c r="BL1" s="32" t="s">
        <v>307</v>
      </c>
      <c r="BM1" s="31" t="s">
        <v>312</v>
      </c>
      <c r="BN1" s="53" t="s">
        <v>336</v>
      </c>
      <c r="BO1" s="32" t="s">
        <v>337</v>
      </c>
      <c r="BP1" s="31" t="s">
        <v>338</v>
      </c>
      <c r="BQ1" s="53" t="s">
        <v>340</v>
      </c>
      <c r="BR1" s="32" t="s">
        <v>346</v>
      </c>
      <c r="BS1" s="31" t="s">
        <v>347</v>
      </c>
      <c r="BT1" s="53" t="s">
        <v>348</v>
      </c>
      <c r="BU1" s="32" t="s">
        <v>362</v>
      </c>
      <c r="BV1" s="31" t="s">
        <v>363</v>
      </c>
      <c r="BW1" s="53" t="s">
        <v>364</v>
      </c>
      <c r="BX1" s="32" t="s">
        <v>369</v>
      </c>
      <c r="BY1" s="31" t="s">
        <v>371</v>
      </c>
      <c r="BZ1" s="53" t="s">
        <v>381</v>
      </c>
      <c r="CA1" s="32" t="s">
        <v>382</v>
      </c>
      <c r="CB1" s="31" t="s">
        <v>467</v>
      </c>
      <c r="CC1" s="53" t="s">
        <v>470</v>
      </c>
      <c r="CD1" s="32" t="s">
        <v>472</v>
      </c>
      <c r="CE1" s="31" t="s">
        <v>482</v>
      </c>
      <c r="CF1" s="53" t="s">
        <v>483</v>
      </c>
      <c r="CG1" s="32" t="s">
        <v>484</v>
      </c>
      <c r="CH1" s="31" t="s">
        <v>485</v>
      </c>
      <c r="CI1" s="53" t="s">
        <v>509</v>
      </c>
      <c r="CJ1" s="32" t="s">
        <v>511</v>
      </c>
      <c r="CK1" s="31" t="s">
        <v>295</v>
      </c>
      <c r="CL1" s="53" t="s">
        <v>415</v>
      </c>
      <c r="CM1" s="32" t="s">
        <v>420</v>
      </c>
      <c r="CN1" s="31" t="s">
        <v>441</v>
      </c>
      <c r="CO1" s="53" t="s">
        <v>442</v>
      </c>
      <c r="CP1" s="32" t="s">
        <v>459</v>
      </c>
      <c r="CQ1" s="31" t="s">
        <v>460</v>
      </c>
      <c r="CR1" s="32" t="s">
        <v>461</v>
      </c>
      <c r="CS1" s="31" t="s">
        <v>231</v>
      </c>
      <c r="CT1" s="32" t="s">
        <v>250</v>
      </c>
      <c r="CU1" s="31" t="s">
        <v>251</v>
      </c>
      <c r="CV1" s="32" t="s">
        <v>252</v>
      </c>
      <c r="CW1" s="31" t="s">
        <v>253</v>
      </c>
      <c r="CX1" s="32" t="s">
        <v>254</v>
      </c>
      <c r="CY1" s="31" t="s">
        <v>255</v>
      </c>
      <c r="CZ1" s="32" t="s">
        <v>256</v>
      </c>
      <c r="DA1" s="31" t="s">
        <v>257</v>
      </c>
      <c r="DB1" s="32" t="s">
        <v>258</v>
      </c>
      <c r="DC1" s="31" t="s">
        <v>262</v>
      </c>
      <c r="DD1" s="32" t="s">
        <v>263</v>
      </c>
      <c r="DE1" s="31" t="s">
        <v>533</v>
      </c>
      <c r="DF1" s="32" t="s">
        <v>62</v>
      </c>
      <c r="DG1" s="31" t="s">
        <v>595</v>
      </c>
      <c r="DM1" s="31"/>
      <c r="DN1" s="31"/>
      <c r="DO1" s="31"/>
      <c r="DP1" s="31"/>
      <c r="DQ1" s="31"/>
      <c r="DR1" s="31"/>
      <c r="DS1" s="31"/>
      <c r="DT1" s="31"/>
      <c r="DU1" s="540"/>
      <c r="DV1" s="31"/>
      <c r="DW1" s="31"/>
      <c r="DX1" s="31"/>
      <c r="DY1" s="31"/>
      <c r="DZ1" s="31"/>
      <c r="EA1" s="31"/>
    </row>
    <row r="2" spans="1:151">
      <c r="A2" s="102">
        <f>Criterios!C8</f>
        <v>0</v>
      </c>
      <c r="B2">
        <f>Criterios!B8</f>
        <v>0</v>
      </c>
    </row>
    <row r="3" spans="1:151" ht="13.5" thickBot="1">
      <c r="A3" t="str">
        <f>Criterios!A9</f>
        <v>Tribunales de Justicia</v>
      </c>
      <c r="B3" t="str">
        <f>Criterios!B9</f>
        <v>ANDALUCIA</v>
      </c>
    </row>
    <row r="4" spans="1:151" ht="13.5" thickBot="1">
      <c r="A4" t="str">
        <f>Criterios!A10</f>
        <v>Provincias</v>
      </c>
      <c r="B4" t="str">
        <f>Criterios!B10</f>
        <v>MALAGA</v>
      </c>
      <c r="CE4" s="1774" t="s">
        <v>353</v>
      </c>
      <c r="CF4" s="1775"/>
      <c r="CG4" s="1775"/>
      <c r="CH4" s="1776"/>
    </row>
    <row r="5" spans="1:151" ht="12.75" customHeight="1" thickBot="1">
      <c r="A5" s="1800" t="str">
        <f>"Año:  " &amp;Criterios!B5 &amp; "                  Trimestre   " &amp;Criterios!D5 &amp; " al " &amp;Criterios!D6</f>
        <v>Año:  2021                  Trimestre   1 al 4</v>
      </c>
      <c r="B5" s="1802" t="s">
        <v>520</v>
      </c>
      <c r="C5" s="1805" t="s">
        <v>49</v>
      </c>
      <c r="D5" s="1811" t="s">
        <v>40</v>
      </c>
      <c r="E5" s="1812"/>
      <c r="F5" s="1812"/>
      <c r="G5" s="1812"/>
      <c r="H5" s="1813"/>
      <c r="I5" s="1817" t="s">
        <v>84</v>
      </c>
      <c r="J5" s="1818"/>
      <c r="K5" s="1818"/>
      <c r="L5" s="1818"/>
      <c r="M5" s="1818"/>
      <c r="N5" s="1818"/>
      <c r="O5" s="1818"/>
      <c r="P5" s="1818"/>
      <c r="Q5" s="1818"/>
      <c r="R5" s="1818"/>
      <c r="S5" s="1818"/>
      <c r="T5" s="1818"/>
      <c r="U5" s="1818"/>
      <c r="V5" s="1818"/>
      <c r="W5" s="1818"/>
      <c r="X5" s="1818"/>
      <c r="Y5" s="1818"/>
      <c r="Z5" s="1818"/>
      <c r="AA5" s="1818"/>
      <c r="AB5" s="1818"/>
      <c r="AC5" s="1818"/>
      <c r="AD5" s="1818"/>
      <c r="AE5" s="1818"/>
      <c r="AF5" s="1818"/>
      <c r="AG5" s="1818"/>
      <c r="AH5" s="1818"/>
      <c r="AI5" s="1818"/>
      <c r="AJ5" s="1818"/>
      <c r="AK5" s="1818"/>
      <c r="AL5" s="1818"/>
      <c r="AM5" s="1818"/>
      <c r="AN5" s="1818"/>
      <c r="AO5" s="1777" t="s">
        <v>179</v>
      </c>
      <c r="AP5" s="1777" t="s">
        <v>180</v>
      </c>
      <c r="AQ5" s="1777" t="s">
        <v>123</v>
      </c>
      <c r="AR5" s="1777" t="s">
        <v>181</v>
      </c>
      <c r="AS5" s="1789" t="s">
        <v>218</v>
      </c>
      <c r="AT5" s="1789" t="s">
        <v>219</v>
      </c>
      <c r="AU5" s="1789" t="s">
        <v>310</v>
      </c>
      <c r="AV5" s="1789" t="s">
        <v>308</v>
      </c>
      <c r="AW5" s="1789" t="s">
        <v>311</v>
      </c>
      <c r="AX5" s="1789" t="s">
        <v>309</v>
      </c>
      <c r="AY5" s="1783" t="s">
        <v>155</v>
      </c>
      <c r="AZ5" s="1836"/>
      <c r="BA5" s="1836"/>
      <c r="BB5" s="1836"/>
      <c r="BC5" s="1837"/>
      <c r="BD5" s="1783" t="s">
        <v>156</v>
      </c>
      <c r="BE5" s="1784"/>
      <c r="BF5" s="1784"/>
      <c r="BG5" s="1785"/>
      <c r="BH5" s="1777" t="s">
        <v>195</v>
      </c>
      <c r="BI5" s="1777" t="s">
        <v>196</v>
      </c>
      <c r="BJ5" s="1833" t="s">
        <v>276</v>
      </c>
      <c r="BK5" s="1794" t="s">
        <v>279</v>
      </c>
      <c r="BL5" s="1794" t="s">
        <v>286</v>
      </c>
      <c r="BM5" s="1830" t="s">
        <v>416</v>
      </c>
      <c r="BN5" s="1607" t="s">
        <v>265</v>
      </c>
      <c r="BO5" s="1608"/>
      <c r="BP5" s="1607" t="s">
        <v>266</v>
      </c>
      <c r="BQ5" s="1608"/>
      <c r="BR5" s="1607" t="s">
        <v>267</v>
      </c>
      <c r="BS5" s="1608"/>
      <c r="BT5" s="1607" t="s">
        <v>268</v>
      </c>
      <c r="BU5" s="1608"/>
      <c r="BV5" s="1791" t="s">
        <v>352</v>
      </c>
      <c r="BW5" s="1797" t="s">
        <v>330</v>
      </c>
      <c r="BX5" s="1797" t="s">
        <v>331</v>
      </c>
      <c r="BY5" s="1780" t="s">
        <v>339</v>
      </c>
      <c r="BZ5" s="1780" t="s">
        <v>466</v>
      </c>
      <c r="CA5" s="1767" t="s">
        <v>368</v>
      </c>
      <c r="CB5" s="1767" t="s">
        <v>359</v>
      </c>
      <c r="CC5" s="1767" t="s">
        <v>360</v>
      </c>
      <c r="CD5" s="1767" t="s">
        <v>361</v>
      </c>
      <c r="CE5" s="1755" t="s">
        <v>372</v>
      </c>
      <c r="CF5" s="1755" t="s">
        <v>351</v>
      </c>
      <c r="CG5" s="1755" t="s">
        <v>349</v>
      </c>
      <c r="CH5" s="1755" t="s">
        <v>350</v>
      </c>
      <c r="CI5" s="1771" t="s">
        <v>379</v>
      </c>
      <c r="CJ5" s="1771" t="s">
        <v>380</v>
      </c>
      <c r="CK5" s="1746" t="s">
        <v>550</v>
      </c>
      <c r="CL5" s="1746" t="s">
        <v>551</v>
      </c>
      <c r="CM5" s="1746" t="s">
        <v>589</v>
      </c>
      <c r="CN5" s="1768" t="s">
        <v>488</v>
      </c>
      <c r="CO5" s="1768" t="s">
        <v>481</v>
      </c>
      <c r="CP5" s="1768" t="s">
        <v>487</v>
      </c>
      <c r="CQ5" s="1761" t="s">
        <v>486</v>
      </c>
      <c r="CR5" s="1761" t="s">
        <v>486</v>
      </c>
      <c r="CS5" s="1755" t="s">
        <v>507</v>
      </c>
      <c r="CT5" s="1755" t="s">
        <v>510</v>
      </c>
      <c r="CU5" s="1755" t="s">
        <v>294</v>
      </c>
      <c r="CV5" s="1755" t="s">
        <v>408</v>
      </c>
      <c r="CW5" s="1755" t="s">
        <v>440</v>
      </c>
      <c r="CX5" s="1755" t="s">
        <v>451</v>
      </c>
      <c r="CY5" s="1755" t="s">
        <v>576</v>
      </c>
      <c r="CZ5" s="1755" t="s">
        <v>577</v>
      </c>
      <c r="DA5" s="1755" t="s">
        <v>578</v>
      </c>
      <c r="DB5" s="1727" t="s">
        <v>259</v>
      </c>
      <c r="DC5" s="1727" t="s">
        <v>260</v>
      </c>
      <c r="DD5" s="1727" t="s">
        <v>261</v>
      </c>
      <c r="DE5" s="1758" t="s">
        <v>232</v>
      </c>
      <c r="DF5" s="1758" t="s">
        <v>532</v>
      </c>
      <c r="DG5" s="1755" t="s">
        <v>591</v>
      </c>
      <c r="DH5" s="1746" t="s">
        <v>550</v>
      </c>
      <c r="DI5" s="1746" t="s">
        <v>551</v>
      </c>
      <c r="DJ5" s="1746" t="s">
        <v>588</v>
      </c>
      <c r="DK5" s="1746" t="s">
        <v>642</v>
      </c>
      <c r="DL5" s="1746" t="s">
        <v>646</v>
      </c>
      <c r="DM5" s="1745" t="s">
        <v>719</v>
      </c>
      <c r="DN5" s="1745" t="s">
        <v>720</v>
      </c>
      <c r="DO5" s="1745" t="s">
        <v>721</v>
      </c>
      <c r="DP5" s="1745" t="s">
        <v>722</v>
      </c>
      <c r="DQ5" s="1745" t="s">
        <v>723</v>
      </c>
      <c r="DR5" s="1745" t="s">
        <v>724</v>
      </c>
      <c r="DS5" s="1745" t="s">
        <v>725</v>
      </c>
      <c r="DT5" s="1745" t="s">
        <v>726</v>
      </c>
      <c r="DU5" s="1764" t="s">
        <v>727</v>
      </c>
      <c r="DV5" s="1752" t="s">
        <v>728</v>
      </c>
      <c r="DW5" s="1749" t="s">
        <v>729</v>
      </c>
      <c r="DX5" s="1745" t="s">
        <v>730</v>
      </c>
      <c r="DY5" s="1733" t="s">
        <v>731</v>
      </c>
      <c r="DZ5" s="1749" t="s">
        <v>732</v>
      </c>
      <c r="EA5" s="1733" t="s">
        <v>733</v>
      </c>
      <c r="EB5" s="1742" t="s">
        <v>793</v>
      </c>
      <c r="EC5" s="1742" t="s">
        <v>794</v>
      </c>
      <c r="ED5" s="1742" t="s">
        <v>795</v>
      </c>
      <c r="EE5" s="1742" t="s">
        <v>835</v>
      </c>
      <c r="EF5" s="1742" t="s">
        <v>839</v>
      </c>
      <c r="EG5" s="1733" t="s">
        <v>837</v>
      </c>
      <c r="EH5" s="1733" t="s">
        <v>838</v>
      </c>
      <c r="EI5" s="1733" t="s">
        <v>797</v>
      </c>
      <c r="EJ5" s="1733" t="s">
        <v>798</v>
      </c>
      <c r="EK5" s="1730" t="s">
        <v>886</v>
      </c>
      <c r="EL5" s="1736" t="s">
        <v>904</v>
      </c>
      <c r="EM5" s="1737"/>
      <c r="EN5" s="1738"/>
      <c r="EO5" s="1727" t="s">
        <v>1010</v>
      </c>
      <c r="EP5" s="1727" t="s">
        <v>1012</v>
      </c>
      <c r="EQ5" s="1727" t="s">
        <v>1013</v>
      </c>
      <c r="ER5" s="1727" t="s">
        <v>1027</v>
      </c>
      <c r="ES5" s="1727" t="s">
        <v>1029</v>
      </c>
      <c r="ET5" s="1724" t="s">
        <v>1146</v>
      </c>
      <c r="EU5" s="1724" t="s">
        <v>1147</v>
      </c>
    </row>
    <row r="6" spans="1:151" ht="24.75" customHeight="1" thickBot="1">
      <c r="A6" s="1801"/>
      <c r="B6" s="1803"/>
      <c r="C6" s="1806"/>
      <c r="D6" s="1814"/>
      <c r="E6" s="1815"/>
      <c r="F6" s="1815"/>
      <c r="G6" s="1815"/>
      <c r="H6" s="1816"/>
      <c r="I6" s="1819" t="s">
        <v>10</v>
      </c>
      <c r="J6" s="1820"/>
      <c r="K6" s="1820"/>
      <c r="L6" s="1820"/>
      <c r="M6" s="1820"/>
      <c r="N6" s="1820"/>
      <c r="O6" s="1821"/>
      <c r="P6" s="1808" t="s">
        <v>20</v>
      </c>
      <c r="Q6" s="1809"/>
      <c r="R6" s="1810"/>
      <c r="S6" s="1819" t="s">
        <v>154</v>
      </c>
      <c r="T6" s="1820"/>
      <c r="U6" s="1820"/>
      <c r="V6" s="1820"/>
      <c r="W6" s="1822"/>
      <c r="X6" s="1823"/>
      <c r="Y6" s="1824" t="s">
        <v>46</v>
      </c>
      <c r="Z6" s="1825"/>
      <c r="AA6" s="1825"/>
      <c r="AB6" s="1826"/>
      <c r="AC6" s="1824" t="s">
        <v>47</v>
      </c>
      <c r="AD6" s="1825"/>
      <c r="AE6" s="1825"/>
      <c r="AF6" s="1829"/>
      <c r="AG6" s="1808" t="s">
        <v>85</v>
      </c>
      <c r="AH6" s="1809"/>
      <c r="AI6" s="1809"/>
      <c r="AJ6" s="1810"/>
      <c r="AK6" s="1827" t="s">
        <v>86</v>
      </c>
      <c r="AL6" s="1809"/>
      <c r="AM6" s="1809"/>
      <c r="AN6" s="1828"/>
      <c r="AO6" s="1778"/>
      <c r="AP6" s="1778"/>
      <c r="AQ6" s="1778"/>
      <c r="AR6" s="1778"/>
      <c r="AS6" s="1728"/>
      <c r="AT6" s="1728"/>
      <c r="AU6" s="1728"/>
      <c r="AV6" s="1728"/>
      <c r="AW6" s="1728"/>
      <c r="AX6" s="1728"/>
      <c r="AY6" s="1838"/>
      <c r="AZ6" s="1839"/>
      <c r="BA6" s="1839"/>
      <c r="BB6" s="1839"/>
      <c r="BC6" s="1840"/>
      <c r="BD6" s="1786"/>
      <c r="BE6" s="1787"/>
      <c r="BF6" s="1787"/>
      <c r="BG6" s="1788"/>
      <c r="BH6" s="1778"/>
      <c r="BI6" s="1778"/>
      <c r="BJ6" s="1834"/>
      <c r="BK6" s="1795"/>
      <c r="BL6" s="1795"/>
      <c r="BM6" s="1831"/>
      <c r="BN6" s="1605" t="s">
        <v>225</v>
      </c>
      <c r="BO6" s="1605" t="s">
        <v>226</v>
      </c>
      <c r="BP6" s="1605" t="s">
        <v>225</v>
      </c>
      <c r="BQ6" s="1605" t="s">
        <v>226</v>
      </c>
      <c r="BR6" s="1605" t="s">
        <v>225</v>
      </c>
      <c r="BS6" s="1605" t="s">
        <v>226</v>
      </c>
      <c r="BT6" s="1605" t="s">
        <v>225</v>
      </c>
      <c r="BU6" s="1605" t="s">
        <v>226</v>
      </c>
      <c r="BV6" s="1792"/>
      <c r="BW6" s="1798"/>
      <c r="BX6" s="1798"/>
      <c r="BY6" s="1781"/>
      <c r="BZ6" s="1781"/>
      <c r="CA6" s="1756"/>
      <c r="CB6" s="1756"/>
      <c r="CC6" s="1756"/>
      <c r="CD6" s="1756"/>
      <c r="CE6" s="1756"/>
      <c r="CF6" s="1756"/>
      <c r="CG6" s="1756"/>
      <c r="CH6" s="1756"/>
      <c r="CI6" s="1772"/>
      <c r="CJ6" s="1772"/>
      <c r="CK6" s="1747"/>
      <c r="CL6" s="1747"/>
      <c r="CM6" s="1747"/>
      <c r="CN6" s="1769"/>
      <c r="CO6" s="1769"/>
      <c r="CP6" s="1769"/>
      <c r="CQ6" s="1762"/>
      <c r="CR6" s="1762"/>
      <c r="CS6" s="1756"/>
      <c r="CT6" s="1756"/>
      <c r="CU6" s="1756"/>
      <c r="CV6" s="1756"/>
      <c r="CW6" s="1756"/>
      <c r="CX6" s="1756"/>
      <c r="CY6" s="1756"/>
      <c r="CZ6" s="1756"/>
      <c r="DA6" s="1756"/>
      <c r="DB6" s="1728"/>
      <c r="DC6" s="1728"/>
      <c r="DD6" s="1728"/>
      <c r="DE6" s="1759"/>
      <c r="DF6" s="1759"/>
      <c r="DG6" s="1756"/>
      <c r="DH6" s="1747"/>
      <c r="DI6" s="1747"/>
      <c r="DJ6" s="1747"/>
      <c r="DK6" s="1747"/>
      <c r="DL6" s="1747"/>
      <c r="DM6" s="1651"/>
      <c r="DN6" s="1651"/>
      <c r="DO6" s="1651"/>
      <c r="DP6" s="1651"/>
      <c r="DQ6" s="1651"/>
      <c r="DR6" s="1651"/>
      <c r="DS6" s="1651"/>
      <c r="DT6" s="1651"/>
      <c r="DU6" s="1765"/>
      <c r="DV6" s="1753"/>
      <c r="DW6" s="1750"/>
      <c r="DX6" s="1651"/>
      <c r="DY6" s="1734"/>
      <c r="DZ6" s="1750"/>
      <c r="EA6" s="1734"/>
      <c r="EB6" s="1743"/>
      <c r="EC6" s="1743"/>
      <c r="ED6" s="1743"/>
      <c r="EE6" s="1743"/>
      <c r="EF6" s="1743"/>
      <c r="EG6" s="1734"/>
      <c r="EH6" s="1734"/>
      <c r="EI6" s="1734"/>
      <c r="EJ6" s="1734"/>
      <c r="EK6" s="1731"/>
      <c r="EL6" s="1739"/>
      <c r="EM6" s="1740"/>
      <c r="EN6" s="1741"/>
      <c r="EO6" s="1728"/>
      <c r="EP6" s="1728"/>
      <c r="EQ6" s="1728"/>
      <c r="ER6" s="1728"/>
      <c r="ES6" s="1728"/>
      <c r="ET6" s="1725"/>
      <c r="EU6" s="1725"/>
    </row>
    <row r="7" spans="1:151" ht="87" customHeight="1" thickBot="1">
      <c r="A7" s="72" t="s">
        <v>1009</v>
      </c>
      <c r="B7" s="1804"/>
      <c r="C7" s="1807"/>
      <c r="D7" s="69" t="s">
        <v>521</v>
      </c>
      <c r="E7" s="70" t="s">
        <v>173</v>
      </c>
      <c r="F7" s="70" t="s">
        <v>172</v>
      </c>
      <c r="G7" s="131" t="s">
        <v>51</v>
      </c>
      <c r="H7" s="132" t="s">
        <v>522</v>
      </c>
      <c r="I7" s="9" t="s">
        <v>23</v>
      </c>
      <c r="J7" s="10" t="s">
        <v>18</v>
      </c>
      <c r="K7" s="10" t="s">
        <v>14</v>
      </c>
      <c r="L7" s="11" t="s">
        <v>24</v>
      </c>
      <c r="M7" s="9" t="s">
        <v>12</v>
      </c>
      <c r="N7" s="10" t="s">
        <v>13</v>
      </c>
      <c r="O7" s="172" t="s">
        <v>288</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79"/>
      <c r="AP7" s="1779"/>
      <c r="AQ7" s="1779"/>
      <c r="AR7" s="1779"/>
      <c r="AS7" s="1729"/>
      <c r="AT7" s="1790"/>
      <c r="AU7" s="1790"/>
      <c r="AV7" s="1790"/>
      <c r="AW7" s="1790"/>
      <c r="AX7" s="1790"/>
      <c r="AY7" s="104" t="s">
        <v>23</v>
      </c>
      <c r="AZ7" s="105" t="s">
        <v>18</v>
      </c>
      <c r="BA7" s="105" t="s">
        <v>14</v>
      </c>
      <c r="BB7" s="105" t="s">
        <v>33</v>
      </c>
      <c r="BC7" s="106" t="s">
        <v>12</v>
      </c>
      <c r="BD7" s="104" t="s">
        <v>14</v>
      </c>
      <c r="BE7" s="105" t="s">
        <v>22</v>
      </c>
      <c r="BF7" s="105" t="s">
        <v>131</v>
      </c>
      <c r="BG7" s="106" t="s">
        <v>132</v>
      </c>
      <c r="BH7" s="1779"/>
      <c r="BI7" s="1779"/>
      <c r="BJ7" s="1835"/>
      <c r="BK7" s="1796"/>
      <c r="BL7" s="1796"/>
      <c r="BM7" s="1832"/>
      <c r="BN7" s="1606"/>
      <c r="BO7" s="1606"/>
      <c r="BP7" s="1606"/>
      <c r="BQ7" s="1606"/>
      <c r="BR7" s="1606"/>
      <c r="BS7" s="1606"/>
      <c r="BT7" s="1606"/>
      <c r="BU7" s="1606"/>
      <c r="BV7" s="1793"/>
      <c r="BW7" s="1799"/>
      <c r="BX7" s="1799"/>
      <c r="BY7" s="1782"/>
      <c r="BZ7" s="1782"/>
      <c r="CA7" s="1757"/>
      <c r="CB7" s="1757"/>
      <c r="CC7" s="1757"/>
      <c r="CD7" s="1757"/>
      <c r="CE7" s="1757"/>
      <c r="CF7" s="1757"/>
      <c r="CG7" s="1757"/>
      <c r="CH7" s="1757"/>
      <c r="CI7" s="1773"/>
      <c r="CJ7" s="1773"/>
      <c r="CK7" s="1748"/>
      <c r="CL7" s="1748"/>
      <c r="CM7" s="1748"/>
      <c r="CN7" s="1770"/>
      <c r="CO7" s="1770"/>
      <c r="CP7" s="1770"/>
      <c r="CQ7" s="1763"/>
      <c r="CR7" s="1763"/>
      <c r="CS7" s="1757"/>
      <c r="CT7" s="1757"/>
      <c r="CU7" s="1757"/>
      <c r="CV7" s="1757"/>
      <c r="CW7" s="1757"/>
      <c r="CX7" s="1757"/>
      <c r="CY7" s="1757"/>
      <c r="CZ7" s="1757"/>
      <c r="DA7" s="1757"/>
      <c r="DB7" s="1729"/>
      <c r="DC7" s="1729"/>
      <c r="DD7" s="1729"/>
      <c r="DE7" s="1760"/>
      <c r="DF7" s="1760"/>
      <c r="DG7" s="1757"/>
      <c r="DH7" s="1748"/>
      <c r="DI7" s="1748"/>
      <c r="DJ7" s="1748"/>
      <c r="DK7" s="1748"/>
      <c r="DL7" s="1748"/>
      <c r="DM7" s="1652"/>
      <c r="DN7" s="1652"/>
      <c r="DO7" s="1652"/>
      <c r="DP7" s="1652"/>
      <c r="DQ7" s="1652"/>
      <c r="DR7" s="1652"/>
      <c r="DS7" s="1652"/>
      <c r="DT7" s="1652"/>
      <c r="DU7" s="1766"/>
      <c r="DV7" s="1754"/>
      <c r="DW7" s="1751"/>
      <c r="DX7" s="1652"/>
      <c r="DY7" s="1735"/>
      <c r="DZ7" s="1751"/>
      <c r="EA7" s="1735"/>
      <c r="EB7" s="1744"/>
      <c r="EC7" s="1744"/>
      <c r="ED7" s="1744"/>
      <c r="EE7" s="1744"/>
      <c r="EF7" s="1744"/>
      <c r="EG7" s="1735"/>
      <c r="EH7" s="1735"/>
      <c r="EI7" s="1735"/>
      <c r="EJ7" s="1735"/>
      <c r="EK7" s="1732"/>
      <c r="EL7" s="854" t="s">
        <v>905</v>
      </c>
      <c r="EM7" s="854" t="s">
        <v>129</v>
      </c>
      <c r="EN7" s="854" t="s">
        <v>130</v>
      </c>
      <c r="EO7" s="1729"/>
      <c r="EP7" s="1729"/>
      <c r="EQ7" s="1729"/>
      <c r="ER7" s="1729"/>
      <c r="ES7" s="1729"/>
      <c r="ET7" s="1726"/>
      <c r="EU7" s="1726"/>
    </row>
    <row r="8" spans="1:151" ht="14.25" customHeight="1" thickBot="1">
      <c r="A8" s="73" t="s">
        <v>148</v>
      </c>
      <c r="B8" s="151" t="s">
        <v>523</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602</v>
      </c>
      <c r="DI8" s="53" t="s">
        <v>603</v>
      </c>
      <c r="DJ8" s="536" t="s">
        <v>604</v>
      </c>
      <c r="DK8" s="536" t="s">
        <v>643</v>
      </c>
      <c r="DL8" s="536" t="s">
        <v>644</v>
      </c>
      <c r="DM8" s="536" t="s">
        <v>734</v>
      </c>
      <c r="DN8" s="536" t="s">
        <v>735</v>
      </c>
      <c r="DO8" s="536" t="s">
        <v>736</v>
      </c>
      <c r="DP8" s="536" t="s">
        <v>737</v>
      </c>
      <c r="DQ8" s="536" t="s">
        <v>738</v>
      </c>
      <c r="DR8" s="536" t="s">
        <v>739</v>
      </c>
      <c r="DS8" s="536" t="s">
        <v>740</v>
      </c>
      <c r="DT8" s="536" t="s">
        <v>741</v>
      </c>
      <c r="DU8" s="542" t="s">
        <v>742</v>
      </c>
      <c r="DV8" s="536" t="s">
        <v>743</v>
      </c>
      <c r="DW8" s="536" t="s">
        <v>744</v>
      </c>
      <c r="DX8" s="536" t="s">
        <v>745</v>
      </c>
      <c r="DY8" s="536" t="s">
        <v>746</v>
      </c>
      <c r="DZ8" s="536" t="s">
        <v>747</v>
      </c>
      <c r="EA8" s="536" t="s">
        <v>748</v>
      </c>
      <c r="EB8" s="536" t="s">
        <v>805</v>
      </c>
      <c r="EC8" s="536" t="s">
        <v>806</v>
      </c>
      <c r="ED8" s="536" t="s">
        <v>807</v>
      </c>
      <c r="EE8" s="536" t="s">
        <v>808</v>
      </c>
      <c r="EF8" s="536" t="s">
        <v>809</v>
      </c>
      <c r="EG8" s="536" t="s">
        <v>810</v>
      </c>
      <c r="EH8" s="536" t="s">
        <v>811</v>
      </c>
      <c r="EI8" s="536" t="s">
        <v>812</v>
      </c>
      <c r="EJ8" s="536" t="s">
        <v>813</v>
      </c>
      <c r="EK8" s="536" t="s">
        <v>887</v>
      </c>
      <c r="EL8" s="855" t="s">
        <v>906</v>
      </c>
      <c r="EM8" s="855" t="s">
        <v>907</v>
      </c>
      <c r="EN8" s="855" t="s">
        <v>908</v>
      </c>
      <c r="EO8" s="53" t="s">
        <v>1011</v>
      </c>
      <c r="EP8" s="53" t="s">
        <v>1017</v>
      </c>
      <c r="EQ8" s="53" t="s">
        <v>1018</v>
      </c>
      <c r="ER8" s="53" t="s">
        <v>1028</v>
      </c>
      <c r="ES8" s="536" t="s">
        <v>1030</v>
      </c>
      <c r="ET8" s="1522" t="s">
        <v>1148</v>
      </c>
      <c r="EU8" s="1522" t="s">
        <v>1149</v>
      </c>
    </row>
    <row r="9" spans="1:151" ht="14.25" customHeight="1">
      <c r="A9" s="20" t="s">
        <v>72</v>
      </c>
      <c r="B9" s="21" t="s">
        <v>523</v>
      </c>
      <c r="C9" s="22" t="s">
        <v>8</v>
      </c>
      <c r="D9" s="23" t="s">
        <v>25</v>
      </c>
      <c r="E9" s="21" t="s">
        <v>26</v>
      </c>
      <c r="F9" s="21">
        <v>32</v>
      </c>
      <c r="G9" s="6"/>
      <c r="H9" s="146" t="s">
        <v>323</v>
      </c>
      <c r="I9" s="193"/>
      <c r="J9" s="194"/>
      <c r="K9" s="194"/>
      <c r="L9" s="194"/>
      <c r="M9" s="194"/>
      <c r="N9" s="194"/>
      <c r="O9" s="194"/>
      <c r="P9" s="194"/>
      <c r="Q9" s="194"/>
      <c r="R9" s="194"/>
      <c r="S9" s="194"/>
      <c r="T9" s="194"/>
      <c r="U9" s="194"/>
      <c r="V9" s="194"/>
      <c r="W9" s="194"/>
      <c r="X9" s="201"/>
      <c r="Y9" s="204"/>
      <c r="Z9" s="194"/>
      <c r="AA9" s="194"/>
      <c r="AB9" s="194"/>
      <c r="AC9" s="194"/>
      <c r="AD9" s="194"/>
      <c r="AE9" s="194"/>
      <c r="AF9" s="201"/>
      <c r="AG9" s="204"/>
      <c r="AH9" s="194"/>
      <c r="AI9" s="194"/>
      <c r="AJ9" s="205"/>
      <c r="AK9" s="193"/>
      <c r="AL9" s="194"/>
      <c r="AM9" s="194"/>
      <c r="AN9" s="201"/>
      <c r="AO9" s="282"/>
      <c r="AP9" s="167"/>
      <c r="AQ9" s="167"/>
      <c r="AR9" s="206"/>
      <c r="AS9" s="380"/>
      <c r="AT9" s="208"/>
      <c r="AU9" s="207"/>
      <c r="AV9" s="208"/>
      <c r="AW9" s="207"/>
      <c r="AX9" s="208"/>
      <c r="AY9" s="133"/>
      <c r="AZ9" s="133"/>
      <c r="BA9" s="134"/>
      <c r="BB9" s="134"/>
      <c r="BC9" s="135"/>
      <c r="BD9" s="136"/>
      <c r="BE9" s="137"/>
      <c r="BF9" s="137"/>
      <c r="BG9" s="209"/>
      <c r="BH9" s="167"/>
      <c r="BI9" s="167"/>
      <c r="BJ9" s="207"/>
      <c r="BK9" s="167"/>
      <c r="BL9" s="167"/>
      <c r="BM9" s="167"/>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c r="CO9" s="169"/>
      <c r="CP9" s="169"/>
      <c r="CQ9" s="169"/>
      <c r="CR9" s="169"/>
      <c r="CS9" s="169"/>
      <c r="CT9" s="169"/>
      <c r="CU9" s="169"/>
      <c r="CV9" s="169"/>
      <c r="CW9" s="169"/>
      <c r="CX9" s="67"/>
      <c r="CY9" s="169"/>
      <c r="CZ9" s="169"/>
      <c r="DA9" s="169"/>
      <c r="DB9" s="352"/>
      <c r="DC9" s="352"/>
      <c r="DD9" s="169"/>
      <c r="DE9" s="169"/>
      <c r="DF9" s="169"/>
      <c r="DG9" s="534"/>
      <c r="DH9" s="169"/>
      <c r="DI9" s="169"/>
      <c r="DJ9" s="169"/>
      <c r="DK9" s="169"/>
      <c r="DL9" s="169"/>
      <c r="DM9" s="169"/>
      <c r="DN9" s="169"/>
      <c r="DO9" s="169"/>
      <c r="DP9" s="169"/>
      <c r="DQ9" s="169"/>
      <c r="DR9" s="169"/>
      <c r="DS9" s="169"/>
      <c r="DT9" s="169"/>
      <c r="DU9" s="169"/>
      <c r="DV9" s="850"/>
      <c r="DW9" s="850"/>
      <c r="DX9" s="850"/>
      <c r="DY9" s="850"/>
      <c r="DZ9" s="169"/>
      <c r="EA9" s="169"/>
      <c r="EB9" s="169"/>
      <c r="EC9" s="169"/>
      <c r="ED9" s="169"/>
      <c r="EE9" s="169"/>
      <c r="EF9" s="169"/>
      <c r="EG9" s="169"/>
      <c r="EH9" s="169"/>
      <c r="EI9" s="169"/>
      <c r="EJ9" s="169"/>
      <c r="EK9" s="169"/>
      <c r="EL9" s="803"/>
      <c r="EM9" s="803"/>
      <c r="EN9" s="803"/>
      <c r="EO9" s="1323"/>
      <c r="EP9" s="1323"/>
      <c r="EQ9" s="1323"/>
      <c r="ER9" s="1323"/>
      <c r="ES9" s="1336"/>
      <c r="ET9" s="1523"/>
      <c r="EU9" s="1523"/>
    </row>
    <row r="10" spans="1:151" ht="14.25" customHeight="1">
      <c r="A10" s="20" t="s">
        <v>191</v>
      </c>
      <c r="B10" s="21" t="s">
        <v>523</v>
      </c>
      <c r="C10" s="22" t="s">
        <v>8</v>
      </c>
      <c r="D10" s="23" t="s">
        <v>114</v>
      </c>
      <c r="E10" s="21" t="s">
        <v>114</v>
      </c>
      <c r="F10" s="21" t="s">
        <v>186</v>
      </c>
      <c r="G10" s="6"/>
      <c r="H10" s="28"/>
      <c r="I10" s="193"/>
      <c r="J10" s="194"/>
      <c r="K10" s="194"/>
      <c r="L10" s="194"/>
      <c r="M10" s="194"/>
      <c r="N10" s="194"/>
      <c r="O10" s="194"/>
      <c r="P10" s="194"/>
      <c r="Q10" s="194"/>
      <c r="R10" s="194"/>
      <c r="S10" s="194"/>
      <c r="T10" s="194"/>
      <c r="U10" s="194"/>
      <c r="V10" s="194"/>
      <c r="W10" s="194"/>
      <c r="X10" s="201"/>
      <c r="Y10" s="210"/>
      <c r="Z10" s="211"/>
      <c r="AA10" s="212"/>
      <c r="AB10" s="211"/>
      <c r="AC10" s="194"/>
      <c r="AD10" s="194"/>
      <c r="AE10" s="194"/>
      <c r="AF10" s="201"/>
      <c r="AG10" s="204"/>
      <c r="AH10" s="194"/>
      <c r="AI10" s="194"/>
      <c r="AJ10" s="205"/>
      <c r="AK10" s="193"/>
      <c r="AL10" s="194"/>
      <c r="AM10" s="194"/>
      <c r="AN10" s="201"/>
      <c r="AO10" s="282"/>
      <c r="AP10" s="168"/>
      <c r="AQ10" s="167"/>
      <c r="AR10" s="168"/>
      <c r="AS10" s="381"/>
      <c r="AT10" s="205"/>
      <c r="AU10" s="213"/>
      <c r="AV10" s="205"/>
      <c r="AW10" s="213"/>
      <c r="AX10" s="205"/>
      <c r="AY10" s="138"/>
      <c r="AZ10" s="139"/>
      <c r="BA10" s="139"/>
      <c r="BB10" s="139"/>
      <c r="BC10" s="135"/>
      <c r="BD10" s="136"/>
      <c r="BE10" s="137"/>
      <c r="BF10" s="137"/>
      <c r="BG10" s="209"/>
      <c r="BH10" s="168"/>
      <c r="BI10" s="168"/>
      <c r="BJ10" s="214"/>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50"/>
      <c r="DW10" s="850"/>
      <c r="DX10" s="850"/>
      <c r="DY10" s="850"/>
      <c r="DZ10" s="169"/>
      <c r="EA10" s="169"/>
      <c r="EB10" s="315"/>
      <c r="EC10" s="315"/>
      <c r="ED10" s="315"/>
      <c r="EE10" s="315"/>
      <c r="EF10" s="315"/>
      <c r="EG10" s="315"/>
      <c r="EH10" s="315"/>
      <c r="EI10" s="315"/>
      <c r="EJ10" s="315"/>
      <c r="EK10" s="315"/>
      <c r="EL10" s="187"/>
      <c r="EM10" s="187"/>
      <c r="EN10" s="187"/>
      <c r="EO10" s="355"/>
      <c r="EP10" s="355"/>
      <c r="EQ10" s="355"/>
      <c r="ER10" s="355"/>
      <c r="ES10" s="381"/>
      <c r="ET10" s="1523"/>
      <c r="EU10" s="1523"/>
    </row>
    <row r="11" spans="1:151" ht="14.25" customHeight="1" thickBot="1">
      <c r="A11" s="20" t="s">
        <v>524</v>
      </c>
      <c r="B11" s="21" t="s">
        <v>523</v>
      </c>
      <c r="C11" s="22" t="s">
        <v>8</v>
      </c>
      <c r="D11" s="23" t="s">
        <v>25</v>
      </c>
      <c r="E11" s="21" t="s">
        <v>78</v>
      </c>
      <c r="F11" s="21">
        <v>32</v>
      </c>
      <c r="G11" s="6"/>
      <c r="H11" s="28" t="s">
        <v>52</v>
      </c>
      <c r="I11" s="195"/>
      <c r="J11" s="196"/>
      <c r="K11" s="196"/>
      <c r="L11" s="196"/>
      <c r="M11" s="196"/>
      <c r="N11" s="196"/>
      <c r="O11" s="194"/>
      <c r="P11" s="196"/>
      <c r="Q11" s="196"/>
      <c r="R11" s="196"/>
      <c r="S11" s="196"/>
      <c r="T11" s="196"/>
      <c r="U11" s="196"/>
      <c r="V11" s="196"/>
      <c r="W11" s="196"/>
      <c r="X11" s="202"/>
      <c r="Y11" s="204"/>
      <c r="Z11" s="194"/>
      <c r="AA11" s="194"/>
      <c r="AB11" s="194"/>
      <c r="AC11" s="196"/>
      <c r="AD11" s="196"/>
      <c r="AE11" s="196"/>
      <c r="AF11" s="202"/>
      <c r="AG11" s="215"/>
      <c r="AH11" s="196"/>
      <c r="AI11" s="196"/>
      <c r="AJ11" s="216"/>
      <c r="AK11" s="195"/>
      <c r="AL11" s="196"/>
      <c r="AM11" s="196"/>
      <c r="AN11" s="202"/>
      <c r="AO11" s="283"/>
      <c r="AP11" s="168"/>
      <c r="AQ11" s="168"/>
      <c r="AR11" s="167"/>
      <c r="AS11" s="382"/>
      <c r="AT11" s="216"/>
      <c r="AU11" s="215"/>
      <c r="AV11" s="216"/>
      <c r="AW11" s="215"/>
      <c r="AX11" s="216"/>
      <c r="AY11" s="136"/>
      <c r="AZ11" s="137"/>
      <c r="BA11" s="137"/>
      <c r="BB11" s="137"/>
      <c r="BC11" s="135"/>
      <c r="BD11" s="136"/>
      <c r="BE11" s="137"/>
      <c r="BF11" s="137"/>
      <c r="BG11" s="209"/>
      <c r="BH11" s="168"/>
      <c r="BI11" s="168"/>
      <c r="BJ11" s="215"/>
      <c r="BK11" s="168"/>
      <c r="BL11" s="168"/>
      <c r="BM11" s="168"/>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c r="CO11" s="170"/>
      <c r="CP11" s="169"/>
      <c r="CQ11" s="169"/>
      <c r="CR11" s="169"/>
      <c r="CS11" s="170"/>
      <c r="CT11" s="170"/>
      <c r="CU11" s="170"/>
      <c r="CV11" s="169"/>
      <c r="CW11" s="169"/>
      <c r="CX11" s="67"/>
      <c r="CY11" s="169"/>
      <c r="CZ11" s="169"/>
      <c r="DA11" s="169"/>
      <c r="DB11" s="160"/>
      <c r="DC11" s="160"/>
      <c r="DD11" s="169"/>
      <c r="DE11" s="169"/>
      <c r="DF11" s="169"/>
      <c r="DG11" s="534"/>
      <c r="DH11" s="169"/>
      <c r="DI11" s="169"/>
      <c r="DJ11" s="169"/>
      <c r="DK11" s="169"/>
      <c r="DL11" s="169"/>
      <c r="DM11" s="169"/>
      <c r="DN11" s="169"/>
      <c r="DO11" s="169"/>
      <c r="DP11" s="169"/>
      <c r="DQ11" s="169"/>
      <c r="DR11" s="169"/>
      <c r="DS11" s="169"/>
      <c r="DT11" s="169"/>
      <c r="DU11" s="169"/>
      <c r="DV11" s="850"/>
      <c r="DW11" s="850"/>
      <c r="DX11" s="850"/>
      <c r="DY11" s="850"/>
      <c r="DZ11" s="169"/>
      <c r="EA11" s="169"/>
      <c r="EB11" s="315"/>
      <c r="EC11" s="315"/>
      <c r="ED11" s="315"/>
      <c r="EE11" s="315"/>
      <c r="EF11" s="315"/>
      <c r="EG11" s="315"/>
      <c r="EH11" s="315"/>
      <c r="EI11" s="315"/>
      <c r="EJ11" s="315"/>
      <c r="EK11" s="315"/>
      <c r="EL11" s="856"/>
      <c r="EM11" s="856"/>
      <c r="EN11" s="856"/>
      <c r="EO11" s="1322"/>
      <c r="EP11" s="1322"/>
      <c r="EQ11" s="1322"/>
      <c r="ER11" s="1322"/>
      <c r="ES11" s="1337"/>
      <c r="ET11" s="1523"/>
      <c r="EU11" s="1523"/>
    </row>
    <row r="12" spans="1:151" ht="14.25" customHeight="1">
      <c r="A12" s="20" t="s">
        <v>525</v>
      </c>
      <c r="B12" s="21" t="s">
        <v>523</v>
      </c>
      <c r="C12" s="22" t="s">
        <v>8</v>
      </c>
      <c r="D12" s="23" t="s">
        <v>25</v>
      </c>
      <c r="E12" s="21" t="s">
        <v>25</v>
      </c>
      <c r="F12" s="21">
        <v>31</v>
      </c>
      <c r="G12" s="6"/>
      <c r="H12" s="229"/>
      <c r="I12" s="195"/>
      <c r="J12" s="196"/>
      <c r="K12" s="196"/>
      <c r="L12" s="196"/>
      <c r="M12" s="196"/>
      <c r="N12" s="196"/>
      <c r="O12" s="194"/>
      <c r="P12" s="196"/>
      <c r="Q12" s="196"/>
      <c r="R12" s="196"/>
      <c r="S12" s="196"/>
      <c r="T12" s="196"/>
      <c r="U12" s="196"/>
      <c r="V12" s="196"/>
      <c r="W12" s="196"/>
      <c r="X12" s="202"/>
      <c r="Y12" s="204"/>
      <c r="Z12" s="194"/>
      <c r="AA12" s="194"/>
      <c r="AB12" s="194"/>
      <c r="AC12" s="196"/>
      <c r="AD12" s="196"/>
      <c r="AE12" s="196"/>
      <c r="AF12" s="202"/>
      <c r="AG12" s="215"/>
      <c r="AH12" s="196"/>
      <c r="AI12" s="196"/>
      <c r="AJ12" s="216"/>
      <c r="AK12" s="195"/>
      <c r="AL12" s="196"/>
      <c r="AM12" s="196"/>
      <c r="AN12" s="202"/>
      <c r="AO12" s="283"/>
      <c r="AP12" s="168"/>
      <c r="AQ12" s="168"/>
      <c r="AR12" s="167"/>
      <c r="AS12" s="382"/>
      <c r="AT12" s="216"/>
      <c r="AU12" s="215"/>
      <c r="AV12" s="216"/>
      <c r="AW12" s="215"/>
      <c r="AX12" s="216"/>
      <c r="AY12" s="136"/>
      <c r="AZ12" s="137"/>
      <c r="BA12" s="137"/>
      <c r="BB12" s="137"/>
      <c r="BC12" s="135"/>
      <c r="BD12" s="136"/>
      <c r="BE12" s="137"/>
      <c r="BF12" s="137"/>
      <c r="BG12" s="209"/>
      <c r="BH12" s="168"/>
      <c r="BI12" s="168"/>
      <c r="BJ12" s="215"/>
      <c r="BK12" s="168"/>
      <c r="BL12" s="168"/>
      <c r="BM12" s="168"/>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c r="CO12" s="170"/>
      <c r="CP12" s="169"/>
      <c r="CQ12" s="169"/>
      <c r="CR12" s="169"/>
      <c r="CS12" s="170"/>
      <c r="CT12" s="170"/>
      <c r="CU12" s="170"/>
      <c r="CV12" s="169"/>
      <c r="CW12" s="169"/>
      <c r="CX12" s="67"/>
      <c r="CY12" s="169"/>
      <c r="CZ12" s="169"/>
      <c r="DA12" s="169"/>
      <c r="DB12" s="352"/>
      <c r="DC12" s="352"/>
      <c r="DD12" s="169"/>
      <c r="DE12" s="169"/>
      <c r="DF12" s="169"/>
      <c r="DG12" s="534"/>
      <c r="DH12" s="169"/>
      <c r="DI12" s="169"/>
      <c r="DJ12" s="169"/>
      <c r="DK12" s="169"/>
      <c r="DL12" s="169"/>
      <c r="DM12" s="169"/>
      <c r="DN12" s="169"/>
      <c r="DO12" s="169"/>
      <c r="DP12" s="169"/>
      <c r="DQ12" s="169"/>
      <c r="DR12" s="169"/>
      <c r="DS12" s="169"/>
      <c r="DT12" s="169"/>
      <c r="DU12" s="169"/>
      <c r="DV12" s="850"/>
      <c r="DW12" s="850"/>
      <c r="DX12" s="850"/>
      <c r="DY12" s="850"/>
      <c r="DZ12" s="169"/>
      <c r="EA12" s="169"/>
      <c r="EB12" s="315"/>
      <c r="EC12" s="315"/>
      <c r="ED12" s="315"/>
      <c r="EE12" s="315"/>
      <c r="EF12" s="315"/>
      <c r="EG12" s="315"/>
      <c r="EH12" s="315"/>
      <c r="EI12" s="315"/>
      <c r="EJ12" s="315"/>
      <c r="EK12" s="315"/>
      <c r="EL12" s="856"/>
      <c r="EM12" s="856"/>
      <c r="EN12" s="856"/>
      <c r="EO12" s="1325"/>
      <c r="EP12" s="1325"/>
      <c r="EQ12" s="1325"/>
      <c r="ER12" s="1325"/>
      <c r="ES12" s="1338"/>
      <c r="ET12" s="1523"/>
      <c r="EU12" s="1523"/>
    </row>
    <row r="13" spans="1:151" ht="14.25" customHeight="1">
      <c r="A13" s="20" t="s">
        <v>145</v>
      </c>
      <c r="B13" s="21" t="s">
        <v>523</v>
      </c>
      <c r="C13" s="22" t="s">
        <v>8</v>
      </c>
      <c r="D13" s="23" t="s">
        <v>28</v>
      </c>
      <c r="E13" s="21" t="s">
        <v>28</v>
      </c>
      <c r="F13" s="21" t="s">
        <v>104</v>
      </c>
      <c r="G13" s="6"/>
      <c r="H13" s="229"/>
      <c r="I13" s="195"/>
      <c r="J13" s="196"/>
      <c r="K13" s="196"/>
      <c r="L13" s="196"/>
      <c r="M13" s="196"/>
      <c r="N13" s="196"/>
      <c r="O13" s="196"/>
      <c r="P13" s="196"/>
      <c r="Q13" s="196"/>
      <c r="R13" s="196"/>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c r="AP13" s="168"/>
      <c r="AQ13" s="168"/>
      <c r="AR13" s="168"/>
      <c r="AS13" s="382"/>
      <c r="AT13" s="216"/>
      <c r="AU13" s="215"/>
      <c r="AV13" s="216"/>
      <c r="AW13" s="215"/>
      <c r="AX13" s="216"/>
      <c r="AY13" s="138"/>
      <c r="AZ13" s="139"/>
      <c r="BA13" s="139"/>
      <c r="BB13" s="139"/>
      <c r="BC13" s="135"/>
      <c r="BD13" s="136"/>
      <c r="BE13" s="137"/>
      <c r="BF13" s="137"/>
      <c r="BG13" s="209"/>
      <c r="BH13" s="168"/>
      <c r="BI13" s="168"/>
      <c r="BJ13" s="215"/>
      <c r="BK13" s="168"/>
      <c r="BL13" s="168"/>
      <c r="BM13" s="168"/>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c r="CO13" s="170"/>
      <c r="CP13" s="170"/>
      <c r="CQ13" s="170"/>
      <c r="CR13" s="170"/>
      <c r="CS13" s="170"/>
      <c r="CT13" s="170"/>
      <c r="CU13" s="170"/>
      <c r="CV13" s="169"/>
      <c r="CW13" s="169"/>
      <c r="CX13" s="67"/>
      <c r="CY13" s="169"/>
      <c r="CZ13" s="169"/>
      <c r="DA13" s="169"/>
      <c r="DB13" s="160"/>
      <c r="DC13" s="356"/>
      <c r="DD13" s="169"/>
      <c r="DE13" s="169"/>
      <c r="DF13" s="169"/>
      <c r="DG13" s="534"/>
      <c r="DH13" s="170"/>
      <c r="DI13" s="170"/>
      <c r="DJ13" s="170"/>
      <c r="DK13" s="170"/>
      <c r="DL13" s="170"/>
      <c r="DM13" s="169"/>
      <c r="DN13" s="169"/>
      <c r="DO13" s="169"/>
      <c r="DP13" s="169"/>
      <c r="DQ13" s="169"/>
      <c r="DR13" s="169"/>
      <c r="DS13" s="169"/>
      <c r="DT13" s="169"/>
      <c r="DU13" s="169"/>
      <c r="DV13" s="850"/>
      <c r="DW13" s="850"/>
      <c r="DX13" s="850"/>
      <c r="DY13" s="850"/>
      <c r="DZ13" s="169"/>
      <c r="EA13" s="169"/>
      <c r="EB13" s="315"/>
      <c r="EC13" s="315"/>
      <c r="ED13" s="315"/>
      <c r="EE13" s="315"/>
      <c r="EF13" s="315"/>
      <c r="EG13" s="315"/>
      <c r="EH13" s="315"/>
      <c r="EI13" s="315"/>
      <c r="EJ13" s="315"/>
      <c r="EK13" s="315"/>
      <c r="EL13" s="187"/>
      <c r="EM13" s="187"/>
      <c r="EN13" s="187"/>
      <c r="EO13" s="1321"/>
      <c r="EP13" s="1321"/>
      <c r="EQ13" s="1321"/>
      <c r="ER13" s="1321"/>
      <c r="ES13" s="1339"/>
      <c r="ET13" s="1523"/>
      <c r="EU13" s="1523"/>
    </row>
    <row r="14" spans="1:151" ht="14.25" customHeight="1" thickBot="1">
      <c r="A14" s="77" t="s">
        <v>5</v>
      </c>
      <c r="B14" s="78" t="s">
        <v>523</v>
      </c>
      <c r="C14" s="79" t="s">
        <v>9</v>
      </c>
      <c r="D14" s="80"/>
      <c r="E14" s="81"/>
      <c r="F14" s="81"/>
      <c r="G14" s="82"/>
      <c r="H14" s="83"/>
      <c r="I14" s="197">
        <f t="shared" ref="I14:AE14" si="0">SUBTOTAL(9,I8:I13)</f>
        <v>0</v>
      </c>
      <c r="J14" s="197">
        <f t="shared" si="0"/>
        <v>0</v>
      </c>
      <c r="K14" s="197">
        <f t="shared" si="0"/>
        <v>0</v>
      </c>
      <c r="L14" s="197">
        <f t="shared" si="0"/>
        <v>0</v>
      </c>
      <c r="M14" s="197">
        <f t="shared" si="0"/>
        <v>0</v>
      </c>
      <c r="N14" s="197">
        <f t="shared" si="0"/>
        <v>0</v>
      </c>
      <c r="O14" s="197">
        <f t="shared" si="0"/>
        <v>0</v>
      </c>
      <c r="P14" s="197">
        <f t="shared" si="0"/>
        <v>0</v>
      </c>
      <c r="Q14" s="197">
        <f t="shared" si="0"/>
        <v>0</v>
      </c>
      <c r="R14" s="197">
        <f t="shared" si="0"/>
        <v>0</v>
      </c>
      <c r="S14" s="197">
        <f t="shared" si="0"/>
        <v>0</v>
      </c>
      <c r="T14" s="197">
        <f t="shared" si="0"/>
        <v>0</v>
      </c>
      <c r="U14" s="197">
        <f t="shared" si="0"/>
        <v>0</v>
      </c>
      <c r="V14" s="197">
        <f t="shared" si="0"/>
        <v>0</v>
      </c>
      <c r="W14" s="197">
        <f t="shared" si="0"/>
        <v>0</v>
      </c>
      <c r="X14" s="197">
        <f t="shared" si="0"/>
        <v>0</v>
      </c>
      <c r="Y14" s="197">
        <f t="shared" si="0"/>
        <v>0</v>
      </c>
      <c r="Z14" s="197">
        <f t="shared" si="0"/>
        <v>0</v>
      </c>
      <c r="AA14" s="197">
        <f t="shared" si="0"/>
        <v>0</v>
      </c>
      <c r="AB14" s="197">
        <f t="shared" si="0"/>
        <v>0</v>
      </c>
      <c r="AC14" s="197">
        <f t="shared" si="0"/>
        <v>0</v>
      </c>
      <c r="AD14" s="197">
        <f t="shared" si="0"/>
        <v>0</v>
      </c>
      <c r="AE14" s="197">
        <f t="shared" si="0"/>
        <v>0</v>
      </c>
      <c r="AF14" s="197">
        <f>SUBTOTAL(9,AF9:AF13)</f>
        <v>0</v>
      </c>
      <c r="AG14" s="197">
        <f t="shared" ref="AG14:AT14" si="1">SUBTOTAL(9,AG8:AG13)</f>
        <v>0</v>
      </c>
      <c r="AH14" s="197">
        <f t="shared" si="1"/>
        <v>0</v>
      </c>
      <c r="AI14" s="197">
        <f t="shared" si="1"/>
        <v>0</v>
      </c>
      <c r="AJ14" s="197">
        <f t="shared" si="1"/>
        <v>0</v>
      </c>
      <c r="AK14" s="197">
        <f t="shared" si="1"/>
        <v>0</v>
      </c>
      <c r="AL14" s="197">
        <f t="shared" si="1"/>
        <v>0</v>
      </c>
      <c r="AM14" s="197">
        <f t="shared" si="1"/>
        <v>0</v>
      </c>
      <c r="AN14" s="197">
        <f t="shared" si="1"/>
        <v>0</v>
      </c>
      <c r="AO14" s="197">
        <f t="shared" si="1"/>
        <v>0</v>
      </c>
      <c r="AP14" s="197">
        <f t="shared" si="1"/>
        <v>0</v>
      </c>
      <c r="AQ14" s="197">
        <f t="shared" si="1"/>
        <v>0</v>
      </c>
      <c r="AR14" s="197">
        <f t="shared" si="1"/>
        <v>0</v>
      </c>
      <c r="AS14" s="197">
        <f t="shared" si="1"/>
        <v>0</v>
      </c>
      <c r="AT14" s="197">
        <f t="shared" si="1"/>
        <v>0</v>
      </c>
      <c r="AU14" s="217"/>
      <c r="AV14" s="142"/>
      <c r="AW14" s="217"/>
      <c r="AX14" s="142"/>
      <c r="AY14" s="197">
        <f>SUBTOTAL(9,AY8:AY13)</f>
        <v>0</v>
      </c>
      <c r="AZ14" s="197">
        <f>SUBTOTAL(9,AZ8:AZ13)</f>
        <v>0</v>
      </c>
      <c r="BA14" s="197">
        <f>SUBTOTAL(9,BA8:BA13)</f>
        <v>0</v>
      </c>
      <c r="BB14" s="197">
        <f>SUBTOTAL(9,BB8:BB13)</f>
        <v>0</v>
      </c>
      <c r="BC14" s="197">
        <f>SUBTOTAL(9,BC8:BC13)</f>
        <v>0</v>
      </c>
      <c r="BD14" s="219" t="str">
        <f>IF(ISNUMBER(BA14/AZ14),BA14/AZ14," - ")</f>
        <v xml:space="preserve"> - </v>
      </c>
      <c r="BE14" s="220" t="str">
        <f>IF(ISNUMBER(BB14/BA14),BB14/BA14, " - ")</f>
        <v xml:space="preserve"> - </v>
      </c>
      <c r="BF14" s="220" t="str">
        <f>IF(ISNUMBER(BC14/BA14),BC14/BA14, " - ")</f>
        <v xml:space="preserve"> - </v>
      </c>
      <c r="BG14" s="221" t="str">
        <f>IF(ISNUMBER((AY14+AZ14)/BA14),(AY14+AZ14)/BA14," - ")</f>
        <v xml:space="preserve"> - </v>
      </c>
      <c r="BH14" s="153">
        <f>SUBTOTAL(9,BH8:BH13)</f>
        <v>0</v>
      </c>
      <c r="BI14" s="153">
        <f>SUBTOTAL(9,BI8:BI13)</f>
        <v>0</v>
      </c>
      <c r="BJ14" s="153">
        <f>SUBTOTAL(9,BJ8:BJ13)</f>
        <v>0</v>
      </c>
      <c r="BK14" s="153">
        <f>SUBTOTAL(9,BK8:BK13)</f>
        <v>0</v>
      </c>
      <c r="BL14" s="153">
        <f>SUBTOTAL(9,BL8:BL13)</f>
        <v>0</v>
      </c>
      <c r="BM14" s="153" t="e">
        <f>AVERAGE(BM8:BM13)</f>
        <v>#DIV/0!</v>
      </c>
      <c r="BN14" s="164"/>
      <c r="BO14" s="164"/>
      <c r="BP14" s="164"/>
      <c r="BQ14" s="164"/>
      <c r="BR14" s="164"/>
      <c r="BS14" s="164"/>
      <c r="BT14" s="164"/>
      <c r="BU14" s="164"/>
      <c r="BV14" s="153"/>
      <c r="BW14" s="153"/>
      <c r="BX14" s="153"/>
      <c r="BY14" s="164"/>
      <c r="BZ14" s="164"/>
      <c r="CA14" s="153">
        <f t="shared" ref="CA14:CL14" si="2">SUBTOTAL(9,CA8:CA13)</f>
        <v>0</v>
      </c>
      <c r="CB14" s="153">
        <f t="shared" si="2"/>
        <v>0</v>
      </c>
      <c r="CC14" s="153">
        <f t="shared" si="2"/>
        <v>0</v>
      </c>
      <c r="CD14" s="153">
        <f t="shared" si="2"/>
        <v>0</v>
      </c>
      <c r="CE14" s="153">
        <f t="shared" si="2"/>
        <v>0</v>
      </c>
      <c r="CF14" s="153">
        <f t="shared" si="2"/>
        <v>0</v>
      </c>
      <c r="CG14" s="153">
        <f t="shared" si="2"/>
        <v>0</v>
      </c>
      <c r="CH14" s="153">
        <f t="shared" si="2"/>
        <v>0</v>
      </c>
      <c r="CI14" s="153">
        <f t="shared" si="2"/>
        <v>0</v>
      </c>
      <c r="CJ14" s="153">
        <f t="shared" si="2"/>
        <v>0</v>
      </c>
      <c r="CK14" s="153">
        <f t="shared" si="2"/>
        <v>0</v>
      </c>
      <c r="CL14" s="153">
        <f t="shared" si="2"/>
        <v>0</v>
      </c>
      <c r="CM14" s="153"/>
      <c r="CN14" s="164" t="e">
        <f>AVERAGE(CN8:CN13)</f>
        <v>#DIV/0!</v>
      </c>
      <c r="CO14" s="164"/>
      <c r="CP14" s="164"/>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 t="shared" ref="EL14:ES14" si="3">SUBTOTAL(9,EL8:EL13)</f>
        <v>0</v>
      </c>
      <c r="EM14" s="153">
        <f t="shared" si="3"/>
        <v>0</v>
      </c>
      <c r="EN14" s="153">
        <f t="shared" si="3"/>
        <v>0</v>
      </c>
      <c r="EO14" s="153">
        <f t="shared" si="3"/>
        <v>0</v>
      </c>
      <c r="EP14" s="153">
        <f t="shared" si="3"/>
        <v>0</v>
      </c>
      <c r="EQ14" s="153">
        <f t="shared" si="3"/>
        <v>0</v>
      </c>
      <c r="ER14" s="153">
        <f t="shared" si="3"/>
        <v>0</v>
      </c>
      <c r="ES14" s="164">
        <f t="shared" si="3"/>
        <v>0</v>
      </c>
      <c r="ET14" s="1524"/>
      <c r="EU14" s="1524"/>
    </row>
    <row r="15" spans="1:151" ht="14.25" customHeight="1" thickBot="1">
      <c r="A15" s="73" t="s">
        <v>147</v>
      </c>
      <c r="B15" s="85" t="s">
        <v>523</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80"/>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352"/>
      <c r="EP15" s="352"/>
      <c r="EQ15" s="352"/>
      <c r="ER15" s="352"/>
      <c r="ES15" s="380"/>
      <c r="ET15" s="196"/>
      <c r="EU15" s="196"/>
    </row>
    <row r="16" spans="1:151" ht="14.25" customHeight="1">
      <c r="A16" s="7" t="s">
        <v>526</v>
      </c>
      <c r="B16" s="21" t="s">
        <v>523</v>
      </c>
      <c r="C16" s="22" t="s">
        <v>8</v>
      </c>
      <c r="D16" s="23" t="s">
        <v>25</v>
      </c>
      <c r="E16" s="21" t="s">
        <v>27</v>
      </c>
      <c r="F16" s="21">
        <v>33</v>
      </c>
      <c r="G16" s="6"/>
      <c r="H16" s="24"/>
      <c r="I16" s="195"/>
      <c r="J16" s="196"/>
      <c r="K16" s="196"/>
      <c r="L16" s="196"/>
      <c r="M16" s="196"/>
      <c r="N16" s="196"/>
      <c r="O16" s="194"/>
      <c r="P16" s="196"/>
      <c r="Q16" s="196"/>
      <c r="R16" s="196"/>
      <c r="S16" s="196"/>
      <c r="T16" s="196"/>
      <c r="U16" s="196"/>
      <c r="V16" s="196"/>
      <c r="W16" s="196"/>
      <c r="X16" s="202"/>
      <c r="Y16" s="215"/>
      <c r="Z16" s="196"/>
      <c r="AA16" s="196"/>
      <c r="AB16" s="196"/>
      <c r="AC16" s="196"/>
      <c r="AD16" s="196"/>
      <c r="AE16" s="196"/>
      <c r="AF16" s="202"/>
      <c r="AG16" s="215"/>
      <c r="AH16" s="196"/>
      <c r="AI16" s="196"/>
      <c r="AJ16" s="216"/>
      <c r="AK16" s="195"/>
      <c r="AL16" s="196"/>
      <c r="AM16" s="196"/>
      <c r="AN16" s="202"/>
      <c r="AO16" s="283"/>
      <c r="AP16" s="168"/>
      <c r="AQ16" s="168"/>
      <c r="AR16" s="168"/>
      <c r="AS16" s="382"/>
      <c r="AT16" s="216"/>
      <c r="AU16" s="215"/>
      <c r="AV16" s="216"/>
      <c r="AW16" s="215"/>
      <c r="AX16" s="216"/>
      <c r="AY16" s="138"/>
      <c r="AZ16" s="139"/>
      <c r="BA16" s="139"/>
      <c r="BB16" s="139"/>
      <c r="BC16" s="135"/>
      <c r="BD16" s="136"/>
      <c r="BE16" s="137"/>
      <c r="BF16" s="137"/>
      <c r="BG16" s="209"/>
      <c r="BH16" s="168"/>
      <c r="BI16" s="168"/>
      <c r="BJ16" s="215"/>
      <c r="BK16" s="168"/>
      <c r="BL16" s="168"/>
      <c r="BM16" s="168"/>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c r="CO16" s="168"/>
      <c r="CP16" s="168"/>
      <c r="CQ16" s="168"/>
      <c r="CR16" s="168"/>
      <c r="CS16" s="168"/>
      <c r="CT16" s="168"/>
      <c r="CU16" s="168"/>
      <c r="CV16" s="169"/>
      <c r="CW16" s="169"/>
      <c r="CX16" s="67"/>
      <c r="CY16" s="169"/>
      <c r="CZ16" s="169"/>
      <c r="DA16" s="169"/>
      <c r="DB16" s="160"/>
      <c r="DC16" s="356"/>
      <c r="DD16" s="169"/>
      <c r="DE16" s="169"/>
      <c r="DF16" s="169"/>
      <c r="DG16" s="534"/>
      <c r="DH16" s="168"/>
      <c r="DI16" s="168"/>
      <c r="DJ16" s="168"/>
      <c r="DK16" s="168"/>
      <c r="DL16" s="168"/>
      <c r="DM16" s="169"/>
      <c r="DN16" s="169"/>
      <c r="DO16" s="169"/>
      <c r="DP16" s="169"/>
      <c r="DQ16" s="169"/>
      <c r="DR16" s="169"/>
      <c r="DS16" s="169"/>
      <c r="DT16" s="169"/>
      <c r="DU16" s="169"/>
      <c r="DV16" s="850"/>
      <c r="DW16" s="850"/>
      <c r="DX16" s="850"/>
      <c r="DY16" s="850"/>
      <c r="DZ16" s="169"/>
      <c r="EA16" s="169"/>
      <c r="EB16" s="168"/>
      <c r="EC16" s="168"/>
      <c r="ED16" s="168"/>
      <c r="EE16" s="168"/>
      <c r="EF16" s="168"/>
      <c r="EG16" s="168"/>
      <c r="EH16" s="168"/>
      <c r="EI16" s="168"/>
      <c r="EJ16" s="168"/>
      <c r="EK16" s="168"/>
      <c r="EL16" s="791"/>
      <c r="EM16" s="791"/>
      <c r="EN16" s="791"/>
      <c r="EO16" s="1322"/>
      <c r="EP16" s="1322"/>
      <c r="EQ16" s="1322"/>
      <c r="ER16" s="1322"/>
      <c r="ES16" s="1337"/>
      <c r="ET16" s="1523"/>
      <c r="EU16" s="1523"/>
    </row>
    <row r="17" spans="1:151" ht="14.25" customHeight="1">
      <c r="A17" s="7" t="s">
        <v>525</v>
      </c>
      <c r="B17" s="21" t="s">
        <v>523</v>
      </c>
      <c r="C17" s="22" t="s">
        <v>8</v>
      </c>
      <c r="D17" s="23" t="s">
        <v>25</v>
      </c>
      <c r="E17" s="21" t="s">
        <v>25</v>
      </c>
      <c r="F17" s="21">
        <v>31</v>
      </c>
      <c r="G17" s="6"/>
      <c r="H17" s="24"/>
      <c r="I17" s="195"/>
      <c r="J17" s="196"/>
      <c r="K17" s="196"/>
      <c r="L17" s="196"/>
      <c r="M17" s="196"/>
      <c r="N17" s="196"/>
      <c r="O17" s="194"/>
      <c r="P17" s="196"/>
      <c r="Q17" s="196"/>
      <c r="R17" s="196"/>
      <c r="S17" s="196"/>
      <c r="T17" s="196"/>
      <c r="U17" s="196"/>
      <c r="V17" s="196"/>
      <c r="W17" s="196"/>
      <c r="X17" s="202"/>
      <c r="Y17" s="215"/>
      <c r="Z17" s="196"/>
      <c r="AA17" s="196"/>
      <c r="AB17" s="196"/>
      <c r="AC17" s="196"/>
      <c r="AD17" s="196"/>
      <c r="AE17" s="196"/>
      <c r="AF17" s="202"/>
      <c r="AG17" s="215"/>
      <c r="AH17" s="196"/>
      <c r="AI17" s="196"/>
      <c r="AJ17" s="216"/>
      <c r="AK17" s="195"/>
      <c r="AL17" s="196"/>
      <c r="AM17" s="196"/>
      <c r="AN17" s="202"/>
      <c r="AO17" s="283"/>
      <c r="AP17" s="168"/>
      <c r="AQ17" s="168"/>
      <c r="AR17" s="168"/>
      <c r="AS17" s="382"/>
      <c r="AT17" s="216"/>
      <c r="AU17" s="215"/>
      <c r="AV17" s="216"/>
      <c r="AW17" s="215"/>
      <c r="AX17" s="216"/>
      <c r="AY17" s="136"/>
      <c r="AZ17" s="137"/>
      <c r="BA17" s="137"/>
      <c r="BB17" s="137"/>
      <c r="BC17" s="135"/>
      <c r="BD17" s="136"/>
      <c r="BE17" s="137"/>
      <c r="BF17" s="137"/>
      <c r="BG17" s="209"/>
      <c r="BH17" s="168"/>
      <c r="BI17" s="168"/>
      <c r="BJ17" s="215"/>
      <c r="BK17" s="168"/>
      <c r="BL17" s="168"/>
      <c r="BM17" s="168"/>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c r="CO17" s="170"/>
      <c r="CP17" s="168"/>
      <c r="CQ17" s="168"/>
      <c r="CR17" s="168"/>
      <c r="CS17" s="170"/>
      <c r="CT17" s="170"/>
      <c r="CU17" s="170"/>
      <c r="CV17" s="169"/>
      <c r="CW17" s="169"/>
      <c r="CX17" s="67"/>
      <c r="CY17" s="169"/>
      <c r="CZ17" s="169"/>
      <c r="DA17" s="169"/>
      <c r="DB17" s="160"/>
      <c r="DC17" s="356"/>
      <c r="DD17" s="169"/>
      <c r="DE17" s="169"/>
      <c r="DF17" s="169"/>
      <c r="DG17" s="534"/>
      <c r="DH17" s="168"/>
      <c r="DI17" s="168"/>
      <c r="DJ17" s="168"/>
      <c r="DK17" s="168"/>
      <c r="DL17" s="168"/>
      <c r="DM17" s="169"/>
      <c r="DN17" s="169"/>
      <c r="DO17" s="169"/>
      <c r="DP17" s="169"/>
      <c r="DQ17" s="169"/>
      <c r="DR17" s="169"/>
      <c r="DS17" s="169"/>
      <c r="DT17" s="169"/>
      <c r="DU17" s="169"/>
      <c r="DV17" s="850"/>
      <c r="DW17" s="850"/>
      <c r="DX17" s="850"/>
      <c r="DY17" s="850"/>
      <c r="DZ17" s="169"/>
      <c r="EA17" s="169"/>
      <c r="EB17" s="168"/>
      <c r="EC17" s="168"/>
      <c r="ED17" s="168"/>
      <c r="EE17" s="168"/>
      <c r="EF17" s="168"/>
      <c r="EG17" s="168"/>
      <c r="EH17" s="168"/>
      <c r="EI17" s="168"/>
      <c r="EJ17" s="168"/>
      <c r="EK17" s="168"/>
      <c r="EL17" s="168"/>
      <c r="EM17" s="168"/>
      <c r="EN17" s="168"/>
      <c r="EO17" s="1322"/>
      <c r="EP17" s="1322"/>
      <c r="EQ17" s="1322"/>
      <c r="ER17" s="1322"/>
      <c r="ES17" s="1337"/>
      <c r="ET17" s="1523"/>
      <c r="EU17" s="1523"/>
    </row>
    <row r="18" spans="1:151" ht="14.25" customHeight="1">
      <c r="A18" s="7" t="s">
        <v>191</v>
      </c>
      <c r="B18" s="21" t="s">
        <v>523</v>
      </c>
      <c r="C18" s="22" t="s">
        <v>8</v>
      </c>
      <c r="D18" s="23" t="s">
        <v>114</v>
      </c>
      <c r="E18" s="21" t="s">
        <v>114</v>
      </c>
      <c r="F18" s="21" t="s">
        <v>186</v>
      </c>
      <c r="G18" s="6"/>
      <c r="H18" s="24"/>
      <c r="I18" s="195"/>
      <c r="J18" s="196"/>
      <c r="K18" s="196"/>
      <c r="L18" s="196"/>
      <c r="M18" s="196"/>
      <c r="N18" s="196"/>
      <c r="O18" s="196"/>
      <c r="P18" s="196"/>
      <c r="Q18" s="196"/>
      <c r="R18" s="196"/>
      <c r="S18" s="196"/>
      <c r="T18" s="196"/>
      <c r="U18" s="196"/>
      <c r="V18" s="196"/>
      <c r="W18" s="196"/>
      <c r="X18" s="202"/>
      <c r="Y18" s="215"/>
      <c r="Z18" s="196"/>
      <c r="AA18" s="196"/>
      <c r="AB18" s="196"/>
      <c r="AC18" s="196"/>
      <c r="AD18" s="196"/>
      <c r="AE18" s="196"/>
      <c r="AF18" s="202"/>
      <c r="AG18" s="215"/>
      <c r="AH18" s="196"/>
      <c r="AI18" s="196"/>
      <c r="AJ18" s="216"/>
      <c r="AK18" s="195"/>
      <c r="AL18" s="196"/>
      <c r="AM18" s="196"/>
      <c r="AN18" s="202"/>
      <c r="AO18" s="283"/>
      <c r="AP18" s="168"/>
      <c r="AQ18" s="167"/>
      <c r="AR18" s="168"/>
      <c r="AS18" s="381"/>
      <c r="AT18" s="223"/>
      <c r="AU18" s="213"/>
      <c r="AV18" s="223"/>
      <c r="AW18" s="213"/>
      <c r="AX18" s="223"/>
      <c r="AY18" s="138"/>
      <c r="AZ18" s="139"/>
      <c r="BA18" s="139"/>
      <c r="BB18" s="139"/>
      <c r="BC18" s="135"/>
      <c r="BD18" s="136"/>
      <c r="BE18" s="137"/>
      <c r="BF18" s="137"/>
      <c r="BG18" s="209"/>
      <c r="BH18" s="168"/>
      <c r="BI18" s="168"/>
      <c r="BJ18" s="213"/>
      <c r="BK18" s="167"/>
      <c r="BL18" s="167"/>
      <c r="BM18" s="167"/>
      <c r="BN18" s="167"/>
      <c r="BO18" s="167"/>
      <c r="BP18" s="167"/>
      <c r="BQ18" s="167"/>
      <c r="BR18" s="167"/>
      <c r="BS18" s="167"/>
      <c r="BT18" s="167"/>
      <c r="BU18" s="167"/>
      <c r="BV18" s="167"/>
      <c r="BW18" s="167"/>
      <c r="BX18" s="167"/>
      <c r="BY18" s="187"/>
      <c r="BZ18" s="187"/>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9"/>
      <c r="CW18" s="169"/>
      <c r="CX18" s="67"/>
      <c r="CY18" s="169"/>
      <c r="CZ18" s="169"/>
      <c r="DA18" s="169"/>
      <c r="DB18" s="355"/>
      <c r="DC18" s="361"/>
      <c r="DD18" s="169"/>
      <c r="DE18" s="362"/>
      <c r="DF18" s="362"/>
      <c r="DG18" s="534"/>
      <c r="DH18" s="167"/>
      <c r="DI18" s="167"/>
      <c r="DJ18" s="167"/>
      <c r="DK18" s="167"/>
      <c r="DL18" s="167"/>
      <c r="DM18" s="169"/>
      <c r="DN18" s="169"/>
      <c r="DO18" s="169"/>
      <c r="DP18" s="169"/>
      <c r="DQ18" s="169"/>
      <c r="DR18" s="169"/>
      <c r="DS18" s="169"/>
      <c r="DT18" s="169"/>
      <c r="DU18" s="169"/>
      <c r="DV18" s="850"/>
      <c r="DW18" s="850"/>
      <c r="DX18" s="850"/>
      <c r="DY18" s="850"/>
      <c r="DZ18" s="169"/>
      <c r="EA18" s="169"/>
      <c r="EB18" s="168"/>
      <c r="EC18" s="168"/>
      <c r="ED18" s="168"/>
      <c r="EE18" s="168"/>
      <c r="EF18" s="168"/>
      <c r="EG18" s="168"/>
      <c r="EH18" s="168"/>
      <c r="EI18" s="168"/>
      <c r="EJ18" s="168"/>
      <c r="EK18" s="168"/>
      <c r="EL18" s="168"/>
      <c r="EM18" s="168"/>
      <c r="EN18" s="168"/>
      <c r="EO18" s="355"/>
      <c r="EP18" s="355"/>
      <c r="EQ18" s="355"/>
      <c r="ER18" s="355"/>
      <c r="ES18" s="381"/>
      <c r="ET18" s="1523"/>
      <c r="EU18" s="1523"/>
    </row>
    <row r="19" spans="1:151" ht="14.25" customHeight="1">
      <c r="A19" s="7" t="s">
        <v>527</v>
      </c>
      <c r="B19" s="21" t="s">
        <v>523</v>
      </c>
      <c r="C19" s="22" t="s">
        <v>8</v>
      </c>
      <c r="D19" s="23" t="s">
        <v>28</v>
      </c>
      <c r="E19" s="21" t="s">
        <v>28</v>
      </c>
      <c r="F19" s="21">
        <v>26</v>
      </c>
      <c r="G19" s="6"/>
      <c r="H19" s="24"/>
      <c r="I19" s="195"/>
      <c r="J19" s="196"/>
      <c r="K19" s="196"/>
      <c r="L19" s="196"/>
      <c r="M19" s="196"/>
      <c r="N19" s="196"/>
      <c r="O19" s="196"/>
      <c r="P19" s="196"/>
      <c r="Q19" s="196"/>
      <c r="R19" s="196"/>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c r="AP19" s="168"/>
      <c r="AQ19" s="168"/>
      <c r="AR19" s="168"/>
      <c r="AS19" s="382"/>
      <c r="AT19" s="216"/>
      <c r="AU19" s="215"/>
      <c r="AV19" s="216"/>
      <c r="AW19" s="215"/>
      <c r="AX19" s="216"/>
      <c r="AY19" s="138"/>
      <c r="AZ19" s="139"/>
      <c r="BA19" s="139"/>
      <c r="BB19" s="139"/>
      <c r="BC19" s="135"/>
      <c r="BD19" s="136"/>
      <c r="BE19" s="137"/>
      <c r="BF19" s="137"/>
      <c r="BG19" s="209"/>
      <c r="BH19" s="168"/>
      <c r="BI19" s="168"/>
      <c r="BJ19" s="215"/>
      <c r="BK19" s="168"/>
      <c r="BL19" s="168"/>
      <c r="BM19" s="168"/>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c r="CO19" s="170"/>
      <c r="CP19" s="170"/>
      <c r="CQ19" s="170"/>
      <c r="CR19" s="170"/>
      <c r="CS19" s="170"/>
      <c r="CT19" s="170"/>
      <c r="CU19" s="170"/>
      <c r="CV19" s="169"/>
      <c r="CW19" s="169"/>
      <c r="CX19" s="67"/>
      <c r="CY19" s="169"/>
      <c r="CZ19" s="169"/>
      <c r="DA19" s="169"/>
      <c r="DB19" s="160"/>
      <c r="DC19" s="356"/>
      <c r="DD19" s="169"/>
      <c r="DE19" s="362"/>
      <c r="DF19" s="362"/>
      <c r="DG19" s="534"/>
      <c r="DH19" s="170"/>
      <c r="DI19" s="170"/>
      <c r="DJ19" s="170"/>
      <c r="DK19" s="170"/>
      <c r="DL19" s="170"/>
      <c r="DM19" s="169"/>
      <c r="DN19" s="169"/>
      <c r="DO19" s="169"/>
      <c r="DP19" s="169"/>
      <c r="DQ19" s="169"/>
      <c r="DR19" s="169"/>
      <c r="DS19" s="169"/>
      <c r="DT19" s="169"/>
      <c r="DU19" s="169"/>
      <c r="DV19" s="850"/>
      <c r="DW19" s="850"/>
      <c r="DX19" s="850"/>
      <c r="DY19" s="850"/>
      <c r="DZ19" s="169"/>
      <c r="EA19" s="169"/>
      <c r="EB19" s="168"/>
      <c r="EC19" s="168"/>
      <c r="ED19" s="168"/>
      <c r="EE19" s="168"/>
      <c r="EF19" s="168"/>
      <c r="EG19" s="168"/>
      <c r="EH19" s="168"/>
      <c r="EI19" s="168"/>
      <c r="EJ19" s="168"/>
      <c r="EK19" s="168"/>
      <c r="EL19" s="168"/>
      <c r="EM19" s="168"/>
      <c r="EN19" s="168"/>
      <c r="EO19" s="1322"/>
      <c r="EP19" s="1322"/>
      <c r="EQ19" s="1322"/>
      <c r="ER19" s="1322"/>
      <c r="ES19" s="1337"/>
      <c r="ET19" s="1523"/>
      <c r="EU19" s="1523"/>
    </row>
    <row r="20" spans="1:151" ht="14.25" customHeight="1">
      <c r="A20" s="7" t="s">
        <v>528</v>
      </c>
      <c r="B20" s="21" t="s">
        <v>523</v>
      </c>
      <c r="C20" s="22" t="s">
        <v>8</v>
      </c>
      <c r="D20" s="23" t="s">
        <v>29</v>
      </c>
      <c r="E20" s="21" t="s">
        <v>29</v>
      </c>
      <c r="F20" s="21">
        <v>25</v>
      </c>
      <c r="G20" s="6"/>
      <c r="H20" s="24"/>
      <c r="I20" s="195"/>
      <c r="J20" s="196"/>
      <c r="K20" s="196"/>
      <c r="L20" s="196"/>
      <c r="M20" s="196"/>
      <c r="N20" s="538"/>
      <c r="O20" s="538"/>
      <c r="P20" s="196"/>
      <c r="Q20" s="196"/>
      <c r="R20" s="196"/>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c r="AP20" s="168"/>
      <c r="AQ20" s="168"/>
      <c r="AR20" s="168"/>
      <c r="AS20" s="196"/>
      <c r="AT20" s="216"/>
      <c r="AU20" s="215"/>
      <c r="AV20" s="216"/>
      <c r="AW20" s="215"/>
      <c r="AX20" s="216"/>
      <c r="AY20" s="138"/>
      <c r="AZ20" s="139"/>
      <c r="BA20" s="139"/>
      <c r="BB20" s="139"/>
      <c r="BC20" s="135"/>
      <c r="BD20" s="136"/>
      <c r="BE20" s="137"/>
      <c r="BF20" s="137"/>
      <c r="BG20" s="209"/>
      <c r="BH20" s="168"/>
      <c r="BI20" s="168"/>
      <c r="BJ20" s="215"/>
      <c r="BK20" s="168"/>
      <c r="BL20" s="168"/>
      <c r="BM20" s="168"/>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c r="CO20" s="170"/>
      <c r="CP20" s="170"/>
      <c r="CQ20" s="170"/>
      <c r="CR20" s="170"/>
      <c r="CS20" s="170"/>
      <c r="CT20" s="170"/>
      <c r="CU20" s="170"/>
      <c r="CV20" s="169"/>
      <c r="CW20" s="169"/>
      <c r="CX20" s="67"/>
      <c r="CY20" s="169"/>
      <c r="CZ20" s="169"/>
      <c r="DA20" s="169"/>
      <c r="DB20" s="196"/>
      <c r="DC20" s="356"/>
      <c r="DD20" s="169"/>
      <c r="DE20" s="169"/>
      <c r="DF20" s="169"/>
      <c r="DG20" s="534"/>
      <c r="DH20" s="170"/>
      <c r="DI20" s="170"/>
      <c r="DJ20" s="170"/>
      <c r="DK20" s="170"/>
      <c r="DL20" s="170"/>
      <c r="DM20" s="169"/>
      <c r="DN20" s="169"/>
      <c r="DO20" s="169"/>
      <c r="DP20" s="169"/>
      <c r="DQ20" s="169"/>
      <c r="DR20" s="169"/>
      <c r="DS20" s="169"/>
      <c r="DT20" s="169"/>
      <c r="DU20" s="169"/>
      <c r="DV20" s="850"/>
      <c r="DW20" s="850"/>
      <c r="DX20" s="850"/>
      <c r="DY20" s="850"/>
      <c r="DZ20" s="169"/>
      <c r="EA20" s="169"/>
      <c r="EB20" s="168"/>
      <c r="EC20" s="168"/>
      <c r="ED20" s="168"/>
      <c r="EE20" s="168"/>
      <c r="EF20" s="168"/>
      <c r="EG20" s="168"/>
      <c r="EH20" s="168"/>
      <c r="EI20" s="168"/>
      <c r="EJ20" s="168"/>
      <c r="EK20" s="168"/>
      <c r="EL20" s="168"/>
      <c r="EM20" s="168"/>
      <c r="EN20" s="168"/>
      <c r="EO20" s="196"/>
      <c r="EP20" s="196"/>
      <c r="EQ20" s="196"/>
      <c r="ER20" s="196"/>
      <c r="ES20" s="538"/>
      <c r="ET20" s="1523"/>
      <c r="EU20" s="1523"/>
    </row>
    <row r="21" spans="1:151" ht="14.25" customHeight="1">
      <c r="A21" s="7" t="s">
        <v>529</v>
      </c>
      <c r="B21" s="21" t="s">
        <v>523</v>
      </c>
      <c r="C21" s="22" t="s">
        <v>8</v>
      </c>
      <c r="D21" s="23" t="s">
        <v>30</v>
      </c>
      <c r="E21" s="21" t="s">
        <v>30</v>
      </c>
      <c r="F21" s="21">
        <v>22</v>
      </c>
      <c r="G21" s="6"/>
      <c r="H21" s="24"/>
      <c r="I21" s="195"/>
      <c r="J21" s="196"/>
      <c r="K21" s="196"/>
      <c r="L21" s="196"/>
      <c r="M21" s="196"/>
      <c r="N21" s="196"/>
      <c r="O21" s="196"/>
      <c r="P21" s="196"/>
      <c r="Q21" s="196"/>
      <c r="R21" s="196"/>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c r="AP21" s="168"/>
      <c r="AQ21" s="168"/>
      <c r="AR21" s="168"/>
      <c r="AS21" s="382"/>
      <c r="AT21" s="345"/>
      <c r="AU21" s="215"/>
      <c r="AV21" s="216"/>
      <c r="AW21" s="215"/>
      <c r="AX21" s="216"/>
      <c r="AY21" s="138"/>
      <c r="AZ21" s="139"/>
      <c r="BA21" s="139"/>
      <c r="BB21" s="139"/>
      <c r="BC21" s="135"/>
      <c r="BD21" s="136"/>
      <c r="BE21" s="137"/>
      <c r="BF21" s="137"/>
      <c r="BG21" s="209"/>
      <c r="BH21" s="168"/>
      <c r="BI21" s="168"/>
      <c r="BJ21" s="215"/>
      <c r="BK21" s="168"/>
      <c r="BL21" s="168"/>
      <c r="BM21" s="168"/>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c r="CO21" s="170"/>
      <c r="CP21" s="186"/>
      <c r="CQ21" s="170"/>
      <c r="CR21" s="170"/>
      <c r="CS21" s="170"/>
      <c r="CT21" s="170"/>
      <c r="CU21" s="170"/>
      <c r="CV21" s="169"/>
      <c r="CW21" s="169"/>
      <c r="CX21" s="67"/>
      <c r="CY21" s="169"/>
      <c r="CZ21" s="169"/>
      <c r="DA21" s="169"/>
      <c r="DB21" s="160"/>
      <c r="DC21" s="363"/>
      <c r="DD21" s="169"/>
      <c r="DE21" s="362"/>
      <c r="DF21" s="362"/>
      <c r="DG21" s="534"/>
      <c r="DH21" s="170"/>
      <c r="DI21" s="170"/>
      <c r="DJ21" s="170"/>
      <c r="DK21" s="170"/>
      <c r="DL21" s="170"/>
      <c r="DM21" s="169"/>
      <c r="DN21" s="169"/>
      <c r="DO21" s="169"/>
      <c r="DP21" s="169"/>
      <c r="DQ21" s="169"/>
      <c r="DR21" s="169"/>
      <c r="DS21" s="169"/>
      <c r="DT21" s="169"/>
      <c r="DU21" s="169"/>
      <c r="DV21" s="850"/>
      <c r="DW21" s="850"/>
      <c r="DX21" s="850"/>
      <c r="DY21" s="850"/>
      <c r="DZ21" s="169"/>
      <c r="EA21" s="169"/>
      <c r="EB21" s="168"/>
      <c r="EC21" s="168"/>
      <c r="ED21" s="168"/>
      <c r="EE21" s="168"/>
      <c r="EF21" s="168"/>
      <c r="EG21" s="168"/>
      <c r="EH21" s="168"/>
      <c r="EI21" s="168"/>
      <c r="EJ21" s="168"/>
      <c r="EK21" s="168"/>
      <c r="EL21" s="168"/>
      <c r="EM21" s="168"/>
      <c r="EN21" s="168"/>
      <c r="EO21" s="160"/>
      <c r="EP21" s="160"/>
      <c r="EQ21" s="160"/>
      <c r="ER21" s="160"/>
      <c r="ES21" s="382"/>
      <c r="ET21" s="1523"/>
      <c r="EU21" s="1523"/>
    </row>
    <row r="22" spans="1:151" ht="14.25" customHeight="1">
      <c r="A22" s="7" t="s">
        <v>530</v>
      </c>
      <c r="B22" s="21" t="s">
        <v>523</v>
      </c>
      <c r="C22" s="22" t="s">
        <v>8</v>
      </c>
      <c r="D22" s="23" t="s">
        <v>30</v>
      </c>
      <c r="E22" s="21">
        <v>10</v>
      </c>
      <c r="F22" s="21">
        <v>22</v>
      </c>
      <c r="G22" s="6"/>
      <c r="H22" s="28" t="s">
        <v>53</v>
      </c>
      <c r="I22" s="196"/>
      <c r="J22" s="196"/>
      <c r="K22" s="196"/>
      <c r="L22" s="196"/>
      <c r="M22" s="196"/>
      <c r="N22" s="196"/>
      <c r="O22" s="196"/>
      <c r="P22" s="196"/>
      <c r="Q22" s="196"/>
      <c r="R22" s="196"/>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c r="AP22" s="168"/>
      <c r="AQ22" s="168"/>
      <c r="AR22" s="168"/>
      <c r="AS22" s="382"/>
      <c r="AT22" s="216"/>
      <c r="AU22" s="215"/>
      <c r="AV22" s="216"/>
      <c r="AW22" s="215"/>
      <c r="AX22" s="216"/>
      <c r="AY22" s="138"/>
      <c r="AZ22" s="139"/>
      <c r="BA22" s="139"/>
      <c r="BB22" s="139"/>
      <c r="BC22" s="135"/>
      <c r="BD22" s="136"/>
      <c r="BE22" s="137"/>
      <c r="BF22" s="137"/>
      <c r="BG22" s="209"/>
      <c r="BH22" s="168"/>
      <c r="BI22" s="168"/>
      <c r="BJ22" s="215"/>
      <c r="BK22" s="168"/>
      <c r="BL22" s="168"/>
      <c r="BM22" s="168"/>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c r="CO22" s="170"/>
      <c r="CP22" s="170"/>
      <c r="CQ22" s="170"/>
      <c r="CR22" s="170"/>
      <c r="CS22" s="170"/>
      <c r="CT22" s="170"/>
      <c r="CU22" s="170"/>
      <c r="CV22" s="169"/>
      <c r="CW22" s="169"/>
      <c r="CX22" s="67"/>
      <c r="CY22" s="169"/>
      <c r="CZ22" s="169"/>
      <c r="DA22" s="169"/>
      <c r="DB22" s="160"/>
      <c r="DC22" s="356"/>
      <c r="DD22" s="169"/>
      <c r="DE22" s="362"/>
      <c r="DF22" s="362"/>
      <c r="DG22" s="534"/>
      <c r="DH22" s="170"/>
      <c r="DI22" s="170"/>
      <c r="DJ22" s="170"/>
      <c r="DK22" s="170"/>
      <c r="DL22" s="170"/>
      <c r="DM22" s="169"/>
      <c r="DN22" s="169"/>
      <c r="DO22" s="169"/>
      <c r="DP22" s="169"/>
      <c r="DQ22" s="169"/>
      <c r="DR22" s="169"/>
      <c r="DS22" s="169"/>
      <c r="DT22" s="169"/>
      <c r="DU22" s="169"/>
      <c r="DV22" s="850"/>
      <c r="DW22" s="850"/>
      <c r="DX22" s="850"/>
      <c r="DY22" s="850"/>
      <c r="DZ22" s="169"/>
      <c r="EA22" s="169"/>
      <c r="EB22" s="168"/>
      <c r="EC22" s="168"/>
      <c r="ED22" s="168"/>
      <c r="EE22" s="168"/>
      <c r="EF22" s="168"/>
      <c r="EG22" s="168"/>
      <c r="EH22" s="168"/>
      <c r="EI22" s="168"/>
      <c r="EJ22" s="168"/>
      <c r="EK22" s="168"/>
      <c r="EL22" s="168"/>
      <c r="EM22" s="168"/>
      <c r="EN22" s="168"/>
      <c r="EO22" s="160"/>
      <c r="EP22" s="160"/>
      <c r="EQ22" s="160"/>
      <c r="ER22" s="160"/>
      <c r="ES22" s="382"/>
      <c r="ET22" s="1523"/>
      <c r="EU22" s="1523"/>
    </row>
    <row r="23" spans="1:151" ht="14.25" customHeight="1" thickBot="1">
      <c r="A23" s="77" t="s">
        <v>5</v>
      </c>
      <c r="B23" s="78" t="s">
        <v>523</v>
      </c>
      <c r="C23" s="79" t="s">
        <v>9</v>
      </c>
      <c r="D23" s="80"/>
      <c r="E23" s="81"/>
      <c r="F23" s="81"/>
      <c r="G23" s="82"/>
      <c r="H23" s="83"/>
      <c r="I23" s="197">
        <f t="shared" ref="I23:AT23" si="4">SUBTOTAL(9,I15:I22)</f>
        <v>0</v>
      </c>
      <c r="J23" s="197">
        <f t="shared" si="4"/>
        <v>0</v>
      </c>
      <c r="K23" s="197">
        <f t="shared" si="4"/>
        <v>0</v>
      </c>
      <c r="L23" s="197">
        <f t="shared" si="4"/>
        <v>0</v>
      </c>
      <c r="M23" s="197">
        <f t="shared" si="4"/>
        <v>0</v>
      </c>
      <c r="N23" s="197">
        <f t="shared" si="4"/>
        <v>0</v>
      </c>
      <c r="O23" s="197">
        <f t="shared" si="4"/>
        <v>0</v>
      </c>
      <c r="P23" s="197">
        <f t="shared" si="4"/>
        <v>0</v>
      </c>
      <c r="Q23" s="197">
        <f t="shared" si="4"/>
        <v>0</v>
      </c>
      <c r="R23" s="197">
        <f t="shared" si="4"/>
        <v>0</v>
      </c>
      <c r="S23" s="197">
        <f t="shared" si="4"/>
        <v>0</v>
      </c>
      <c r="T23" s="197">
        <f t="shared" si="4"/>
        <v>0</v>
      </c>
      <c r="U23" s="197">
        <f t="shared" si="4"/>
        <v>0</v>
      </c>
      <c r="V23" s="197">
        <f t="shared" si="4"/>
        <v>0</v>
      </c>
      <c r="W23" s="197">
        <f t="shared" si="4"/>
        <v>0</v>
      </c>
      <c r="X23" s="197">
        <f t="shared" si="4"/>
        <v>0</v>
      </c>
      <c r="Y23" s="197">
        <f t="shared" si="4"/>
        <v>0</v>
      </c>
      <c r="Z23" s="197">
        <f t="shared" si="4"/>
        <v>0</v>
      </c>
      <c r="AA23" s="197">
        <f t="shared" si="4"/>
        <v>0</v>
      </c>
      <c r="AB23" s="197">
        <f t="shared" si="4"/>
        <v>0</v>
      </c>
      <c r="AC23" s="197">
        <f t="shared" si="4"/>
        <v>0</v>
      </c>
      <c r="AD23" s="197">
        <f t="shared" si="4"/>
        <v>0</v>
      </c>
      <c r="AE23" s="197">
        <f t="shared" si="4"/>
        <v>0</v>
      </c>
      <c r="AF23" s="197">
        <f t="shared" si="4"/>
        <v>0</v>
      </c>
      <c r="AG23" s="197">
        <f t="shared" si="4"/>
        <v>0</v>
      </c>
      <c r="AH23" s="197">
        <f t="shared" si="4"/>
        <v>0</v>
      </c>
      <c r="AI23" s="197">
        <f t="shared" si="4"/>
        <v>0</v>
      </c>
      <c r="AJ23" s="197">
        <f t="shared" si="4"/>
        <v>0</v>
      </c>
      <c r="AK23" s="197">
        <f t="shared" si="4"/>
        <v>0</v>
      </c>
      <c r="AL23" s="197">
        <f t="shared" si="4"/>
        <v>0</v>
      </c>
      <c r="AM23" s="197">
        <f t="shared" si="4"/>
        <v>0</v>
      </c>
      <c r="AN23" s="197">
        <f t="shared" si="4"/>
        <v>0</v>
      </c>
      <c r="AO23" s="197">
        <f t="shared" si="4"/>
        <v>0</v>
      </c>
      <c r="AP23" s="197">
        <f t="shared" si="4"/>
        <v>0</v>
      </c>
      <c r="AQ23" s="197">
        <f t="shared" si="4"/>
        <v>0</v>
      </c>
      <c r="AR23" s="197">
        <f t="shared" si="4"/>
        <v>0</v>
      </c>
      <c r="AS23" s="197">
        <f t="shared" si="4"/>
        <v>0</v>
      </c>
      <c r="AT23" s="197">
        <f t="shared" si="4"/>
        <v>0</v>
      </c>
      <c r="AU23" s="217"/>
      <c r="AV23" s="142"/>
      <c r="AW23" s="217"/>
      <c r="AX23" s="142"/>
      <c r="AY23" s="197">
        <f>SUBTOTAL(9,AY15:AY22)</f>
        <v>0</v>
      </c>
      <c r="AZ23" s="197">
        <f>SUBTOTAL(9,AZ15:AZ22)</f>
        <v>0</v>
      </c>
      <c r="BA23" s="197">
        <f>SUBTOTAL(9,BA15:BA22)</f>
        <v>0</v>
      </c>
      <c r="BB23" s="197">
        <f>SUBTOTAL(9,BB15:BB22)</f>
        <v>0</v>
      </c>
      <c r="BC23" s="197">
        <f>SUBTOTAL(9,BC15:BC22)</f>
        <v>0</v>
      </c>
      <c r="BD23" s="219" t="str">
        <f>IF(ISNUMBER(BA23/AZ23),BA23/AZ23," - ")</f>
        <v xml:space="preserve"> - </v>
      </c>
      <c r="BE23" s="220" t="str">
        <f>IF(ISNUMBER(BB23/BA23),BB23/BA23, " - ")</f>
        <v xml:space="preserve"> - </v>
      </c>
      <c r="BF23" s="220" t="str">
        <f>IF(ISNUMBER(BC23/BA23),BC23/BA23, " - ")</f>
        <v xml:space="preserve"> - </v>
      </c>
      <c r="BG23" s="221" t="str">
        <f>IF(ISNUMBER((AY23+AZ23)/BA23),(AY23+AZ23)/BA23," - ")</f>
        <v xml:space="preserve"> - </v>
      </c>
      <c r="BH23" s="197">
        <f>SUBTOTAL(9,BH15:BH22)</f>
        <v>0</v>
      </c>
      <c r="BI23" s="197">
        <f>SUBTOTAL(9,BI15:BI22)</f>
        <v>0</v>
      </c>
      <c r="BJ23" s="197">
        <f>SUBTOTAL(9,BJ15:BJ22)</f>
        <v>0</v>
      </c>
      <c r="BK23" s="197">
        <f>SUBTOTAL(9,BK15:BK22)</f>
        <v>0</v>
      </c>
      <c r="BL23" s="197">
        <f>SUBTOTAL(9,BL15:BL22)</f>
        <v>0</v>
      </c>
      <c r="BM23" s="153" t="e">
        <f>AVERAGE(BM16:BM22)</f>
        <v>#DIV/0!</v>
      </c>
      <c r="BN23" s="164"/>
      <c r="BO23" s="164"/>
      <c r="BP23" s="164"/>
      <c r="BQ23" s="164"/>
      <c r="BR23" s="164"/>
      <c r="BS23" s="164"/>
      <c r="BT23" s="164"/>
      <c r="BU23" s="164"/>
      <c r="BV23" s="197"/>
      <c r="BW23" s="197"/>
      <c r="BX23" s="197"/>
      <c r="BY23" s="164"/>
      <c r="BZ23" s="164"/>
      <c r="CA23" s="197">
        <f t="shared" ref="CA23:CL23" si="5">SUBTOTAL(9,CA15:CA22)</f>
        <v>0</v>
      </c>
      <c r="CB23" s="197">
        <f t="shared" si="5"/>
        <v>0</v>
      </c>
      <c r="CC23" s="197">
        <f t="shared" si="5"/>
        <v>0</v>
      </c>
      <c r="CD23" s="197">
        <f t="shared" si="5"/>
        <v>0</v>
      </c>
      <c r="CE23" s="197">
        <f t="shared" si="5"/>
        <v>0</v>
      </c>
      <c r="CF23" s="197">
        <f t="shared" si="5"/>
        <v>0</v>
      </c>
      <c r="CG23" s="197">
        <f t="shared" si="5"/>
        <v>0</v>
      </c>
      <c r="CH23" s="197">
        <f t="shared" si="5"/>
        <v>0</v>
      </c>
      <c r="CI23" s="197">
        <f t="shared" si="5"/>
        <v>0</v>
      </c>
      <c r="CJ23" s="197">
        <f t="shared" si="5"/>
        <v>0</v>
      </c>
      <c r="CK23" s="197">
        <f t="shared" si="5"/>
        <v>0</v>
      </c>
      <c r="CL23" s="197">
        <f t="shared" si="5"/>
        <v>0</v>
      </c>
      <c r="CM23" s="322"/>
      <c r="CN23" s="164"/>
      <c r="CO23" s="164"/>
      <c r="CP23" s="164"/>
      <c r="CQ23" s="164"/>
      <c r="CR23" s="164"/>
      <c r="CS23" s="164"/>
      <c r="CT23" s="164"/>
      <c r="CU23" s="164"/>
      <c r="CV23" s="197">
        <f>SUBTOTAL(9,CV16:CV22)</f>
        <v>0</v>
      </c>
      <c r="CW23" s="197">
        <f>SUBTOTAL(9,CW16:CW22)</f>
        <v>0</v>
      </c>
      <c r="CX23" s="197"/>
      <c r="CY23" s="197">
        <f t="shared" ref="CY23:ER23" si="6">SUBTOTAL(9,CY16:CY22)</f>
        <v>0</v>
      </c>
      <c r="CZ23" s="197">
        <f t="shared" si="6"/>
        <v>0</v>
      </c>
      <c r="DA23" s="197">
        <f t="shared" si="6"/>
        <v>0</v>
      </c>
      <c r="DB23" s="197">
        <f t="shared" si="6"/>
        <v>0</v>
      </c>
      <c r="DC23" s="197">
        <f t="shared" si="6"/>
        <v>0</v>
      </c>
      <c r="DD23" s="197">
        <f t="shared" si="6"/>
        <v>0</v>
      </c>
      <c r="DE23" s="197">
        <f t="shared" si="6"/>
        <v>0</v>
      </c>
      <c r="DF23" s="197">
        <f t="shared" si="6"/>
        <v>0</v>
      </c>
      <c r="DG23" s="197">
        <f t="shared" si="6"/>
        <v>0</v>
      </c>
      <c r="DH23" s="197">
        <f t="shared" si="6"/>
        <v>0</v>
      </c>
      <c r="DI23" s="197">
        <f t="shared" si="6"/>
        <v>0</v>
      </c>
      <c r="DJ23" s="197">
        <f t="shared" si="6"/>
        <v>0</v>
      </c>
      <c r="DK23" s="197">
        <f t="shared" si="6"/>
        <v>0</v>
      </c>
      <c r="DL23" s="197">
        <f t="shared" si="6"/>
        <v>0</v>
      </c>
      <c r="DM23" s="197">
        <f t="shared" si="6"/>
        <v>0</v>
      </c>
      <c r="DN23" s="197">
        <f t="shared" si="6"/>
        <v>0</v>
      </c>
      <c r="DO23" s="197">
        <f t="shared" si="6"/>
        <v>0</v>
      </c>
      <c r="DP23" s="197">
        <f t="shared" si="6"/>
        <v>0</v>
      </c>
      <c r="DQ23" s="197">
        <f t="shared" si="6"/>
        <v>0</v>
      </c>
      <c r="DR23" s="197">
        <f t="shared" si="6"/>
        <v>0</v>
      </c>
      <c r="DS23" s="197">
        <f t="shared" si="6"/>
        <v>0</v>
      </c>
      <c r="DT23" s="197">
        <f t="shared" si="6"/>
        <v>0</v>
      </c>
      <c r="DU23" s="197">
        <f t="shared" si="6"/>
        <v>0</v>
      </c>
      <c r="DV23" s="851">
        <f t="shared" si="6"/>
        <v>0</v>
      </c>
      <c r="DW23" s="851">
        <f t="shared" si="6"/>
        <v>0</v>
      </c>
      <c r="DX23" s="851">
        <f t="shared" si="6"/>
        <v>0</v>
      </c>
      <c r="DY23" s="851">
        <f t="shared" si="6"/>
        <v>0</v>
      </c>
      <c r="DZ23" s="197">
        <f t="shared" si="6"/>
        <v>0</v>
      </c>
      <c r="EA23" s="197">
        <f t="shared" si="6"/>
        <v>0</v>
      </c>
      <c r="EB23" s="197">
        <f t="shared" si="6"/>
        <v>0</v>
      </c>
      <c r="EC23" s="197">
        <f t="shared" si="6"/>
        <v>0</v>
      </c>
      <c r="ED23" s="197">
        <f t="shared" si="6"/>
        <v>0</v>
      </c>
      <c r="EE23" s="197">
        <f t="shared" si="6"/>
        <v>0</v>
      </c>
      <c r="EF23" s="197">
        <f t="shared" si="6"/>
        <v>0</v>
      </c>
      <c r="EG23" s="197">
        <f t="shared" si="6"/>
        <v>0</v>
      </c>
      <c r="EH23" s="197">
        <f t="shared" si="6"/>
        <v>0</v>
      </c>
      <c r="EI23" s="197">
        <f t="shared" si="6"/>
        <v>0</v>
      </c>
      <c r="EJ23" s="197">
        <f t="shared" si="6"/>
        <v>0</v>
      </c>
      <c r="EK23" s="197">
        <f t="shared" si="6"/>
        <v>0</v>
      </c>
      <c r="EL23" s="197">
        <f t="shared" si="6"/>
        <v>0</v>
      </c>
      <c r="EM23" s="197">
        <f t="shared" si="6"/>
        <v>0</v>
      </c>
      <c r="EN23" s="197">
        <f t="shared" si="6"/>
        <v>0</v>
      </c>
      <c r="EO23" s="197">
        <f t="shared" si="6"/>
        <v>0</v>
      </c>
      <c r="EP23" s="197">
        <f t="shared" si="6"/>
        <v>0</v>
      </c>
      <c r="EQ23" s="197">
        <f t="shared" si="6"/>
        <v>0</v>
      </c>
      <c r="ER23" s="197">
        <f t="shared" si="6"/>
        <v>0</v>
      </c>
      <c r="ES23" s="851"/>
      <c r="ET23" s="153"/>
      <c r="EU23" s="1525"/>
    </row>
    <row r="24" spans="1:151" ht="14.25" customHeight="1" thickBot="1">
      <c r="A24" s="73" t="s">
        <v>0</v>
      </c>
      <c r="B24" s="85" t="s">
        <v>523</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80"/>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352"/>
      <c r="EP24" s="352"/>
      <c r="EQ24" s="352"/>
      <c r="ER24" s="352"/>
      <c r="ES24" s="380"/>
      <c r="ET24" s="196"/>
      <c r="EU24" s="196"/>
    </row>
    <row r="25" spans="1:151" ht="14.25" customHeight="1">
      <c r="A25" s="7" t="s">
        <v>1</v>
      </c>
      <c r="B25" s="21" t="s">
        <v>523</v>
      </c>
      <c r="C25" s="22" t="s">
        <v>8</v>
      </c>
      <c r="D25" s="23">
        <v>30</v>
      </c>
      <c r="E25" s="21">
        <v>30</v>
      </c>
      <c r="F25" s="21">
        <v>23</v>
      </c>
      <c r="G25" s="6"/>
      <c r="H25" s="24"/>
      <c r="I25" s="195"/>
      <c r="J25" s="196"/>
      <c r="K25" s="196"/>
      <c r="L25" s="196"/>
      <c r="M25" s="196"/>
      <c r="N25" s="196"/>
      <c r="O25" s="196"/>
      <c r="P25" s="196"/>
      <c r="Q25" s="196"/>
      <c r="R25" s="196"/>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c r="AP25" s="168"/>
      <c r="AQ25" s="168"/>
      <c r="AR25" s="168"/>
      <c r="AS25" s="382"/>
      <c r="AT25" s="216"/>
      <c r="AU25" s="215"/>
      <c r="AV25" s="216"/>
      <c r="AW25" s="215"/>
      <c r="AX25" s="216"/>
      <c r="AY25" s="138"/>
      <c r="AZ25" s="139"/>
      <c r="BA25" s="139"/>
      <c r="BB25" s="139"/>
      <c r="BC25" s="135"/>
      <c r="BD25" s="136"/>
      <c r="BE25" s="137"/>
      <c r="BF25" s="137"/>
      <c r="BG25" s="209"/>
      <c r="BH25" s="168"/>
      <c r="BI25" s="168"/>
      <c r="BJ25" s="215"/>
      <c r="BK25" s="168"/>
      <c r="BL25" s="168"/>
      <c r="BM25" s="168"/>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c r="CO25" s="170"/>
      <c r="CP25" s="170"/>
      <c r="CQ25" s="170"/>
      <c r="CR25" s="170"/>
      <c r="CS25" s="170"/>
      <c r="CT25" s="170"/>
      <c r="CU25" s="170"/>
      <c r="CV25" s="169"/>
      <c r="CW25" s="169"/>
      <c r="CX25" s="67"/>
      <c r="CY25" s="169"/>
      <c r="CZ25" s="169"/>
      <c r="DA25" s="169"/>
      <c r="DB25" s="160"/>
      <c r="DC25" s="356"/>
      <c r="DD25" s="169"/>
      <c r="DE25" s="364"/>
      <c r="DF25" s="350"/>
      <c r="DG25" s="534"/>
      <c r="DH25" s="170"/>
      <c r="DI25" s="170"/>
      <c r="DJ25" s="170"/>
      <c r="DK25" s="170"/>
      <c r="DL25" s="170"/>
      <c r="DM25" s="384"/>
      <c r="DN25" s="384"/>
      <c r="DO25" s="384"/>
      <c r="DP25" s="384"/>
      <c r="DQ25" s="384"/>
      <c r="DR25" s="384"/>
      <c r="DS25" s="384"/>
      <c r="DT25" s="384"/>
      <c r="DU25" s="170"/>
      <c r="DV25" s="384"/>
      <c r="DW25" s="384"/>
      <c r="DX25" s="384"/>
      <c r="DY25" s="384"/>
      <c r="DZ25" s="384"/>
      <c r="EA25" s="384"/>
      <c r="EB25" s="170"/>
      <c r="EC25" s="170"/>
      <c r="ED25" s="170"/>
      <c r="EE25" s="170"/>
      <c r="EF25" s="170"/>
      <c r="EG25" s="170"/>
      <c r="EH25" s="170"/>
      <c r="EI25" s="170"/>
      <c r="EJ25" s="170"/>
      <c r="EK25" s="170"/>
      <c r="EL25" s="168"/>
      <c r="EM25" s="168"/>
      <c r="EN25" s="168"/>
      <c r="EO25" s="160"/>
      <c r="EP25" s="160"/>
      <c r="EQ25" s="160"/>
      <c r="ER25" s="160"/>
      <c r="ES25" s="382"/>
      <c r="ET25" s="1523"/>
      <c r="EU25" s="1523"/>
    </row>
    <row r="26" spans="1:151" ht="14.25" customHeight="1" thickBot="1">
      <c r="A26" s="77" t="s">
        <v>5</v>
      </c>
      <c r="B26" s="78" t="s">
        <v>523</v>
      </c>
      <c r="C26" s="79" t="s">
        <v>9</v>
      </c>
      <c r="D26" s="80"/>
      <c r="E26" s="81"/>
      <c r="F26" s="81"/>
      <c r="G26" s="82"/>
      <c r="H26" s="83"/>
      <c r="I26" s="197">
        <f t="shared" ref="I26:AS26" si="7">SUBTOTAL(9,I25:I25)</f>
        <v>0</v>
      </c>
      <c r="J26" s="197">
        <f t="shared" si="7"/>
        <v>0</v>
      </c>
      <c r="K26" s="197">
        <f t="shared" si="7"/>
        <v>0</v>
      </c>
      <c r="L26" s="197">
        <f t="shared" si="7"/>
        <v>0</v>
      </c>
      <c r="M26" s="197">
        <f t="shared" si="7"/>
        <v>0</v>
      </c>
      <c r="N26" s="197">
        <f t="shared" si="7"/>
        <v>0</v>
      </c>
      <c r="O26" s="197">
        <f t="shared" si="7"/>
        <v>0</v>
      </c>
      <c r="P26" s="197">
        <f t="shared" si="7"/>
        <v>0</v>
      </c>
      <c r="Q26" s="197">
        <f t="shared" si="7"/>
        <v>0</v>
      </c>
      <c r="R26" s="197">
        <f t="shared" si="7"/>
        <v>0</v>
      </c>
      <c r="S26" s="197">
        <f t="shared" si="7"/>
        <v>0</v>
      </c>
      <c r="T26" s="197">
        <f t="shared" si="7"/>
        <v>0</v>
      </c>
      <c r="U26" s="197">
        <f t="shared" si="7"/>
        <v>0</v>
      </c>
      <c r="V26" s="197">
        <f t="shared" si="7"/>
        <v>0</v>
      </c>
      <c r="W26" s="197">
        <f t="shared" si="7"/>
        <v>0</v>
      </c>
      <c r="X26" s="141">
        <f t="shared" si="7"/>
        <v>0</v>
      </c>
      <c r="Y26" s="217">
        <f t="shared" si="7"/>
        <v>0</v>
      </c>
      <c r="Z26" s="197">
        <f t="shared" si="7"/>
        <v>0</v>
      </c>
      <c r="AA26" s="197">
        <f t="shared" si="7"/>
        <v>0</v>
      </c>
      <c r="AB26" s="197">
        <f t="shared" si="7"/>
        <v>0</v>
      </c>
      <c r="AC26" s="197">
        <f t="shared" si="7"/>
        <v>0</v>
      </c>
      <c r="AD26" s="197">
        <f t="shared" si="7"/>
        <v>0</v>
      </c>
      <c r="AE26" s="197">
        <f t="shared" si="7"/>
        <v>0</v>
      </c>
      <c r="AF26" s="141">
        <f t="shared" si="7"/>
        <v>0</v>
      </c>
      <c r="AG26" s="217">
        <f t="shared" si="7"/>
        <v>0</v>
      </c>
      <c r="AH26" s="197">
        <f t="shared" si="7"/>
        <v>0</v>
      </c>
      <c r="AI26" s="197">
        <f t="shared" si="7"/>
        <v>0</v>
      </c>
      <c r="AJ26" s="142">
        <f t="shared" si="7"/>
        <v>0</v>
      </c>
      <c r="AK26" s="218">
        <f t="shared" si="7"/>
        <v>0</v>
      </c>
      <c r="AL26" s="197">
        <f t="shared" si="7"/>
        <v>0</v>
      </c>
      <c r="AM26" s="197">
        <f t="shared" si="7"/>
        <v>0</v>
      </c>
      <c r="AN26" s="141">
        <f t="shared" si="7"/>
        <v>0</v>
      </c>
      <c r="AO26" s="153">
        <f t="shared" si="7"/>
        <v>0</v>
      </c>
      <c r="AP26" s="153">
        <f t="shared" si="7"/>
        <v>0</v>
      </c>
      <c r="AQ26" s="153">
        <f t="shared" si="7"/>
        <v>0</v>
      </c>
      <c r="AR26" s="153">
        <f t="shared" si="7"/>
        <v>0</v>
      </c>
      <c r="AS26" s="153">
        <f t="shared" si="7"/>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IF(ISNUMBER(BA26/AZ26),BA26/AZ26," - ")</f>
        <v xml:space="preserve"> - </v>
      </c>
      <c r="BE26" s="220" t="str">
        <f>IF(ISNUMBER(BB26/BA26),BB26/BA26, " - ")</f>
        <v xml:space="preserve"> - </v>
      </c>
      <c r="BF26" s="220" t="str">
        <f>IF(ISNUMBER(BC26/BA26),BC26/BA26, " - ")</f>
        <v xml:space="preserve"> - </v>
      </c>
      <c r="BG26" s="221" t="str">
        <f>IF(ISNUMBER((AY26+AZ26)/BA26),(AY26+AZ26)/BA26," - ")</f>
        <v xml:space="preserve"> - </v>
      </c>
      <c r="BH26" s="153">
        <f>SUBTOTAL(9,BH25:BH25)</f>
        <v>0</v>
      </c>
      <c r="BI26" s="153">
        <f>SUBTOTAL(9,BI25:BI25)</f>
        <v>0</v>
      </c>
      <c r="BJ26" s="217"/>
      <c r="BK26" s="153">
        <f>SUBTOTAL(9,BK25:BK25)</f>
        <v>0</v>
      </c>
      <c r="BL26" s="153"/>
      <c r="BM26" s="153" t="e">
        <f>AVERAGE(BM25:BM25)</f>
        <v>#DIV/0!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357"/>
      <c r="EP26" s="357"/>
      <c r="EQ26" s="357"/>
      <c r="ER26" s="357"/>
      <c r="ES26" s="164"/>
      <c r="ET26" s="153"/>
      <c r="EU26" s="1525"/>
    </row>
    <row r="27" spans="1:151" ht="14.25" customHeight="1">
      <c r="A27" s="73" t="s">
        <v>2</v>
      </c>
      <c r="B27" s="85" t="s">
        <v>523</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80"/>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352"/>
      <c r="EP27" s="352"/>
      <c r="EQ27" s="352"/>
      <c r="ER27" s="352"/>
      <c r="ES27" s="380"/>
      <c r="ET27" s="196"/>
      <c r="EU27" s="196"/>
    </row>
    <row r="28" spans="1:151" ht="14.25" customHeight="1">
      <c r="A28" s="7" t="s">
        <v>3</v>
      </c>
      <c r="B28" s="21" t="s">
        <v>523</v>
      </c>
      <c r="C28" s="22" t="s">
        <v>8</v>
      </c>
      <c r="D28" s="23" t="s">
        <v>31</v>
      </c>
      <c r="E28" s="21" t="s">
        <v>31</v>
      </c>
      <c r="F28" s="21">
        <v>24</v>
      </c>
      <c r="G28" s="6"/>
      <c r="H28" s="24"/>
      <c r="I28" s="195"/>
      <c r="J28" s="196"/>
      <c r="K28" s="196"/>
      <c r="L28" s="196"/>
      <c r="M28" s="196"/>
      <c r="N28" s="196"/>
      <c r="O28" s="196"/>
      <c r="P28" s="196"/>
      <c r="Q28" s="196"/>
      <c r="R28" s="196"/>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c r="AP28" s="168"/>
      <c r="AQ28" s="168"/>
      <c r="AR28" s="168"/>
      <c r="AS28" s="382"/>
      <c r="AT28" s="216"/>
      <c r="AU28" s="215"/>
      <c r="AV28" s="216"/>
      <c r="AW28" s="215"/>
      <c r="AX28" s="216"/>
      <c r="AY28" s="138"/>
      <c r="AZ28" s="139"/>
      <c r="BA28" s="139"/>
      <c r="BB28" s="139"/>
      <c r="BC28" s="135"/>
      <c r="BD28" s="136"/>
      <c r="BE28" s="137"/>
      <c r="BF28" s="137"/>
      <c r="BG28" s="209"/>
      <c r="BH28" s="168"/>
      <c r="BI28" s="168"/>
      <c r="BJ28" s="215"/>
      <c r="BK28" s="168"/>
      <c r="BL28" s="168"/>
      <c r="BM28" s="168"/>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c r="CO28" s="170"/>
      <c r="CP28" s="186"/>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50"/>
      <c r="DW28" s="850"/>
      <c r="DX28" s="850"/>
      <c r="DY28" s="850"/>
      <c r="DZ28" s="169"/>
      <c r="EA28" s="169"/>
      <c r="EB28" s="170"/>
      <c r="EC28" s="170"/>
      <c r="ED28" s="170"/>
      <c r="EE28" s="170"/>
      <c r="EF28" s="170"/>
      <c r="EG28" s="170"/>
      <c r="EH28" s="170"/>
      <c r="EI28" s="170"/>
      <c r="EJ28" s="170"/>
      <c r="EK28" s="170"/>
      <c r="EL28" s="168"/>
      <c r="EM28" s="168"/>
      <c r="EN28" s="168"/>
      <c r="EO28" s="1324"/>
      <c r="EP28" s="1324"/>
      <c r="EQ28" s="1324"/>
      <c r="ER28" s="1324"/>
      <c r="ES28" s="1340"/>
      <c r="ET28" s="1523"/>
      <c r="EU28" s="1523"/>
    </row>
    <row r="29" spans="1:151" ht="14.25" customHeight="1">
      <c r="A29" s="7" t="s">
        <v>4</v>
      </c>
      <c r="B29" s="21" t="s">
        <v>523</v>
      </c>
      <c r="C29" s="22" t="s">
        <v>8</v>
      </c>
      <c r="D29" s="23" t="s">
        <v>31</v>
      </c>
      <c r="E29" s="21" t="s">
        <v>32</v>
      </c>
      <c r="F29" s="21">
        <v>24</v>
      </c>
      <c r="G29" s="6"/>
      <c r="H29" s="30" t="s">
        <v>54</v>
      </c>
      <c r="I29" s="196"/>
      <c r="J29" s="196"/>
      <c r="K29" s="196"/>
      <c r="L29" s="196"/>
      <c r="M29" s="196"/>
      <c r="N29" s="196"/>
      <c r="O29" s="196"/>
      <c r="P29" s="196"/>
      <c r="Q29" s="196"/>
      <c r="R29" s="196"/>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c r="AP29" s="168"/>
      <c r="AQ29" s="168"/>
      <c r="AR29" s="168"/>
      <c r="AS29" s="382"/>
      <c r="AT29" s="216"/>
      <c r="AU29" s="215"/>
      <c r="AV29" s="216"/>
      <c r="AW29" s="215"/>
      <c r="AX29" s="216"/>
      <c r="AY29" s="138"/>
      <c r="AZ29" s="139"/>
      <c r="BA29" s="139"/>
      <c r="BB29" s="139"/>
      <c r="BC29" s="135"/>
      <c r="BD29" s="136"/>
      <c r="BE29" s="137"/>
      <c r="BF29" s="137"/>
      <c r="BG29" s="209"/>
      <c r="BH29" s="168"/>
      <c r="BI29" s="168"/>
      <c r="BJ29" s="215"/>
      <c r="BK29" s="168"/>
      <c r="BL29" s="168"/>
      <c r="BM29" s="168"/>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c r="CO29" s="170"/>
      <c r="CP29" s="170"/>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50"/>
      <c r="DW29" s="850"/>
      <c r="DX29" s="850"/>
      <c r="DY29" s="850"/>
      <c r="DZ29" s="169"/>
      <c r="EA29" s="169"/>
      <c r="EB29" s="170"/>
      <c r="EC29" s="170"/>
      <c r="ED29" s="170"/>
      <c r="EE29" s="170"/>
      <c r="EF29" s="170"/>
      <c r="EG29" s="170"/>
      <c r="EH29" s="170"/>
      <c r="EI29" s="170"/>
      <c r="EJ29" s="170"/>
      <c r="EK29" s="170"/>
      <c r="EL29" s="168"/>
      <c r="EM29" s="168"/>
      <c r="EN29" s="168"/>
      <c r="EO29" s="1322"/>
      <c r="EP29" s="1322"/>
      <c r="EQ29" s="1322"/>
      <c r="ER29" s="1322"/>
      <c r="ES29" s="1337"/>
      <c r="ET29" s="1523"/>
      <c r="EU29" s="1523"/>
    </row>
    <row r="30" spans="1:151" ht="14.25" customHeight="1" thickBot="1">
      <c r="A30" s="77" t="s">
        <v>5</v>
      </c>
      <c r="B30" s="78" t="s">
        <v>523</v>
      </c>
      <c r="C30" s="79" t="s">
        <v>9</v>
      </c>
      <c r="D30" s="80"/>
      <c r="E30" s="81"/>
      <c r="F30" s="81"/>
      <c r="G30" s="82"/>
      <c r="H30" s="83"/>
      <c r="I30" s="197">
        <f t="shared" ref="I30:AO30" si="8">SUBTOTAL(9,I28:I29)</f>
        <v>0</v>
      </c>
      <c r="J30" s="197">
        <f t="shared" si="8"/>
        <v>0</v>
      </c>
      <c r="K30" s="197">
        <f t="shared" si="8"/>
        <v>0</v>
      </c>
      <c r="L30" s="197">
        <f t="shared" si="8"/>
        <v>0</v>
      </c>
      <c r="M30" s="197">
        <f t="shared" si="8"/>
        <v>0</v>
      </c>
      <c r="N30" s="197">
        <f t="shared" si="8"/>
        <v>0</v>
      </c>
      <c r="O30" s="197">
        <f t="shared" si="8"/>
        <v>0</v>
      </c>
      <c r="P30" s="197">
        <f t="shared" si="8"/>
        <v>0</v>
      </c>
      <c r="Q30" s="197">
        <f t="shared" si="8"/>
        <v>0</v>
      </c>
      <c r="R30" s="197">
        <f t="shared" si="8"/>
        <v>0</v>
      </c>
      <c r="S30" s="197">
        <f t="shared" si="8"/>
        <v>0</v>
      </c>
      <c r="T30" s="197">
        <f t="shared" si="8"/>
        <v>0</v>
      </c>
      <c r="U30" s="197">
        <f t="shared" si="8"/>
        <v>0</v>
      </c>
      <c r="V30" s="197">
        <f t="shared" si="8"/>
        <v>0</v>
      </c>
      <c r="W30" s="197">
        <f t="shared" si="8"/>
        <v>0</v>
      </c>
      <c r="X30" s="141">
        <f t="shared" si="8"/>
        <v>0</v>
      </c>
      <c r="Y30" s="217">
        <f t="shared" si="8"/>
        <v>0</v>
      </c>
      <c r="Z30" s="197">
        <f t="shared" si="8"/>
        <v>0</v>
      </c>
      <c r="AA30" s="197">
        <f t="shared" si="8"/>
        <v>0</v>
      </c>
      <c r="AB30" s="197">
        <f t="shared" si="8"/>
        <v>0</v>
      </c>
      <c r="AC30" s="197">
        <f t="shared" si="8"/>
        <v>0</v>
      </c>
      <c r="AD30" s="197">
        <f t="shared" si="8"/>
        <v>0</v>
      </c>
      <c r="AE30" s="197">
        <f t="shared" si="8"/>
        <v>0</v>
      </c>
      <c r="AF30" s="141">
        <f t="shared" si="8"/>
        <v>0</v>
      </c>
      <c r="AG30" s="217">
        <f t="shared" si="8"/>
        <v>0</v>
      </c>
      <c r="AH30" s="197">
        <f t="shared" si="8"/>
        <v>0</v>
      </c>
      <c r="AI30" s="197">
        <f t="shared" si="8"/>
        <v>0</v>
      </c>
      <c r="AJ30" s="142">
        <f t="shared" si="8"/>
        <v>0</v>
      </c>
      <c r="AK30" s="218">
        <f t="shared" si="8"/>
        <v>0</v>
      </c>
      <c r="AL30" s="197">
        <f t="shared" si="8"/>
        <v>0</v>
      </c>
      <c r="AM30" s="197">
        <f t="shared" si="8"/>
        <v>0</v>
      </c>
      <c r="AN30" s="141">
        <f t="shared" si="8"/>
        <v>0</v>
      </c>
      <c r="AO30" s="153">
        <f t="shared" si="8"/>
        <v>0</v>
      </c>
      <c r="AP30" s="153">
        <f>SUBTOTAL(9,AP28:AP29)-AP29</f>
        <v>0</v>
      </c>
      <c r="AQ30" s="153">
        <f>SUBTOTAL(9,AQ28:AQ29)</f>
        <v>0</v>
      </c>
      <c r="AR30" s="153">
        <f>SUBTOTAL(9,AR28:AR29)-AR29</f>
        <v>0</v>
      </c>
      <c r="AS30" s="383">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IF(ISNUMBER(BA30/AZ30),BA30/AZ30," - ")</f>
        <v xml:space="preserve"> - </v>
      </c>
      <c r="BE30" s="141" t="str">
        <f>IF(ISNUMBER(BB30/BA30),BB30/BA30, " - ")</f>
        <v xml:space="preserve"> - </v>
      </c>
      <c r="BF30" s="141" t="str">
        <f>IF(ISNUMBER(BC30/BA30),BC30/BA30, " - ")</f>
        <v xml:space="preserve"> - </v>
      </c>
      <c r="BG30" s="142" t="str">
        <f>IF(ISNUMBER((AY30+AZ30)/BA30),(AY30+AZ30)/BA30," - ")</f>
        <v xml:space="preserve"> - </v>
      </c>
      <c r="BH30" s="153">
        <f>SUBTOTAL(9,BH28:BH29)-BH29</f>
        <v>0</v>
      </c>
      <c r="BI30" s="153">
        <f>SUBTOTAL(9,BI28:BI29)-BI29</f>
        <v>0</v>
      </c>
      <c r="BJ30" s="217"/>
      <c r="BK30" s="153">
        <f>SUBTOTAL(9,BK28:BK29)</f>
        <v>0</v>
      </c>
      <c r="BL30" s="153"/>
      <c r="BM30" s="153" t="e">
        <f>AVERAGE(BM28:BM29)</f>
        <v>#DIV/0!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357"/>
      <c r="EP30" s="357"/>
      <c r="EQ30" s="357"/>
      <c r="ER30" s="357"/>
      <c r="ES30" s="164"/>
      <c r="ET30" s="153"/>
      <c r="EU30" s="1525"/>
    </row>
    <row r="31" spans="1:151" ht="14.25" customHeight="1" thickBot="1">
      <c r="A31" s="96" t="s">
        <v>6</v>
      </c>
      <c r="B31" s="97"/>
      <c r="C31" s="98" t="s">
        <v>41</v>
      </c>
      <c r="D31" s="99"/>
      <c r="E31" s="97"/>
      <c r="F31" s="97"/>
      <c r="G31" s="100"/>
      <c r="H31" s="101"/>
      <c r="I31" s="144">
        <f t="shared" ref="I31:AT31" si="9">SUBTOTAL(9,I9:I30)</f>
        <v>0</v>
      </c>
      <c r="J31" s="144">
        <f t="shared" si="9"/>
        <v>0</v>
      </c>
      <c r="K31" s="144">
        <f t="shared" si="9"/>
        <v>0</v>
      </c>
      <c r="L31" s="144">
        <f t="shared" si="9"/>
        <v>0</v>
      </c>
      <c r="M31" s="144">
        <f t="shared" si="9"/>
        <v>0</v>
      </c>
      <c r="N31" s="144">
        <f t="shared" si="9"/>
        <v>0</v>
      </c>
      <c r="O31" s="144">
        <f t="shared" si="9"/>
        <v>0</v>
      </c>
      <c r="P31" s="144">
        <f t="shared" si="9"/>
        <v>0</v>
      </c>
      <c r="Q31" s="144">
        <f t="shared" si="9"/>
        <v>0</v>
      </c>
      <c r="R31" s="144">
        <f t="shared" si="9"/>
        <v>0</v>
      </c>
      <c r="S31" s="144">
        <f t="shared" si="9"/>
        <v>0</v>
      </c>
      <c r="T31" s="144">
        <f t="shared" si="9"/>
        <v>0</v>
      </c>
      <c r="U31" s="144">
        <f t="shared" si="9"/>
        <v>0</v>
      </c>
      <c r="V31" s="144">
        <f t="shared" si="9"/>
        <v>0</v>
      </c>
      <c r="W31" s="144">
        <f t="shared" si="9"/>
        <v>0</v>
      </c>
      <c r="X31" s="144">
        <f t="shared" si="9"/>
        <v>0</v>
      </c>
      <c r="Y31" s="144">
        <f t="shared" si="9"/>
        <v>0</v>
      </c>
      <c r="Z31" s="144">
        <f t="shared" si="9"/>
        <v>0</v>
      </c>
      <c r="AA31" s="144">
        <f t="shared" si="9"/>
        <v>0</v>
      </c>
      <c r="AB31" s="144">
        <f t="shared" si="9"/>
        <v>0</v>
      </c>
      <c r="AC31" s="144">
        <f t="shared" si="9"/>
        <v>0</v>
      </c>
      <c r="AD31" s="144">
        <f t="shared" si="9"/>
        <v>0</v>
      </c>
      <c r="AE31" s="144">
        <f t="shared" si="9"/>
        <v>0</v>
      </c>
      <c r="AF31" s="144">
        <f t="shared" si="9"/>
        <v>0</v>
      </c>
      <c r="AG31" s="144">
        <f t="shared" si="9"/>
        <v>0</v>
      </c>
      <c r="AH31" s="144">
        <f t="shared" si="9"/>
        <v>0</v>
      </c>
      <c r="AI31" s="144">
        <f t="shared" si="9"/>
        <v>0</v>
      </c>
      <c r="AJ31" s="144">
        <f t="shared" si="9"/>
        <v>0</v>
      </c>
      <c r="AK31" s="144">
        <f t="shared" si="9"/>
        <v>0</v>
      </c>
      <c r="AL31" s="144">
        <f t="shared" si="9"/>
        <v>0</v>
      </c>
      <c r="AM31" s="144">
        <f t="shared" si="9"/>
        <v>0</v>
      </c>
      <c r="AN31" s="224">
        <f t="shared" si="9"/>
        <v>0</v>
      </c>
      <c r="AO31" s="225">
        <f t="shared" si="9"/>
        <v>0</v>
      </c>
      <c r="AP31" s="225">
        <f t="shared" si="9"/>
        <v>0</v>
      </c>
      <c r="AQ31" s="225">
        <f t="shared" si="9"/>
        <v>0</v>
      </c>
      <c r="AR31" s="225">
        <f t="shared" si="9"/>
        <v>0</v>
      </c>
      <c r="AS31" s="166">
        <f t="shared" si="9"/>
        <v>0</v>
      </c>
      <c r="AT31" s="166">
        <f t="shared" si="9"/>
        <v>0</v>
      </c>
      <c r="AU31" s="225"/>
      <c r="AV31" s="226"/>
      <c r="AW31" s="225"/>
      <c r="AX31" s="226"/>
      <c r="AY31" s="143">
        <f>SUBTOTAL(9,AY9:AY30)</f>
        <v>0</v>
      </c>
      <c r="AZ31" s="144">
        <f>SUBTOTAL(9,AZ9:AZ30)</f>
        <v>0</v>
      </c>
      <c r="BA31" s="144">
        <f>SUBTOTAL(9,BA9:BA30)</f>
        <v>0</v>
      </c>
      <c r="BB31" s="144">
        <f>SUBTOTAL(9,BB9:BB30)</f>
        <v>0</v>
      </c>
      <c r="BC31" s="145">
        <f>SUBTOTAL(9,BC9:BC30)</f>
        <v>0</v>
      </c>
      <c r="BD31" s="227" t="str">
        <f>IF(ISNUMBER(BA31/AZ31),BA31/AZ31," - ")</f>
        <v xml:space="preserve"> - </v>
      </c>
      <c r="BE31" s="224" t="str">
        <f>IF(ISNUMBER(BB31/BA31),BB31/BA31, " - ")</f>
        <v xml:space="preserve"> - </v>
      </c>
      <c r="BF31" s="224" t="str">
        <f>IF(ISNUMBER(BC31/BA31),BC31/BA31, " - ")</f>
        <v xml:space="preserve"> - </v>
      </c>
      <c r="BG31" s="145" t="str">
        <f>IF(ISNUMBER((AY31+AZ31)/BA31),(AY31+AZ31)/BA31," - ")</f>
        <v xml:space="preserve"> - </v>
      </c>
      <c r="BH31" s="225">
        <f>SUBTOTAL(9,BH9:BH30)</f>
        <v>0</v>
      </c>
      <c r="BI31" s="225">
        <f>SUBTOTAL(9,BI9:BI30)</f>
        <v>0</v>
      </c>
      <c r="BJ31" s="225"/>
      <c r="BK31" s="225">
        <f>SUBTOTAL(9,BK9:BK30)</f>
        <v>0</v>
      </c>
      <c r="BL31" s="225"/>
      <c r="BM31" s="225" t="e">
        <f>AVERAGE(BM9:BM30)</f>
        <v>#DIV/0!</v>
      </c>
      <c r="BN31" s="225">
        <f t="shared" ref="BN31:BS31" si="10">SUBTOTAL(9,BN9:BN30)</f>
        <v>0</v>
      </c>
      <c r="BO31" s="225">
        <f t="shared" si="10"/>
        <v>0</v>
      </c>
      <c r="BP31" s="225">
        <f t="shared" si="10"/>
        <v>0</v>
      </c>
      <c r="BQ31" s="225">
        <f t="shared" si="10"/>
        <v>0</v>
      </c>
      <c r="BR31" s="225">
        <f t="shared" si="10"/>
        <v>0</v>
      </c>
      <c r="BS31" s="225">
        <f t="shared" si="10"/>
        <v>0</v>
      </c>
      <c r="BT31" s="225" t="e">
        <f>AVERAGE(BT9:BT30)</f>
        <v>#DIV/0!</v>
      </c>
      <c r="BU31" s="225" t="e">
        <f>AVERAGE(BU9:BU30)</f>
        <v>#DIV/0!</v>
      </c>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t="e">
        <f>SUBTOTAL(9,CN9:CN30)</f>
        <v>#DIV/0!</v>
      </c>
      <c r="CO31" s="225">
        <f>SUBTOTAL(9,CO9:CO30)</f>
        <v>0</v>
      </c>
      <c r="CP31" s="225">
        <f>SUBTOTAL(9,CP9:CP30)</f>
        <v>0</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R31" si="11">SUBTOTAL(9,DM9:DM30)</f>
        <v>0</v>
      </c>
      <c r="DN31" s="166">
        <f t="shared" si="11"/>
        <v>0</v>
      </c>
      <c r="DO31" s="166">
        <f t="shared" si="11"/>
        <v>0</v>
      </c>
      <c r="DP31" s="166">
        <f t="shared" si="11"/>
        <v>0</v>
      </c>
      <c r="DQ31" s="166">
        <f t="shared" si="11"/>
        <v>0</v>
      </c>
      <c r="DR31" s="166">
        <f t="shared" si="11"/>
        <v>0</v>
      </c>
      <c r="DS31" s="166">
        <f t="shared" si="11"/>
        <v>0</v>
      </c>
      <c r="DT31" s="166">
        <f t="shared" si="11"/>
        <v>0</v>
      </c>
      <c r="DU31" s="166">
        <f t="shared" si="11"/>
        <v>0</v>
      </c>
      <c r="DV31" s="166">
        <f t="shared" si="11"/>
        <v>0</v>
      </c>
      <c r="DW31" s="166">
        <f t="shared" si="11"/>
        <v>0</v>
      </c>
      <c r="DX31" s="166">
        <f t="shared" si="11"/>
        <v>0</v>
      </c>
      <c r="DY31" s="166">
        <f t="shared" si="11"/>
        <v>0</v>
      </c>
      <c r="DZ31" s="166">
        <f t="shared" si="11"/>
        <v>0</v>
      </c>
      <c r="EA31" s="166">
        <f t="shared" si="11"/>
        <v>0</v>
      </c>
      <c r="EB31" s="166">
        <f t="shared" si="11"/>
        <v>0</v>
      </c>
      <c r="EC31" s="166">
        <f t="shared" si="11"/>
        <v>0</v>
      </c>
      <c r="ED31" s="166">
        <f t="shared" si="11"/>
        <v>0</v>
      </c>
      <c r="EE31" s="166">
        <f t="shared" si="11"/>
        <v>0</v>
      </c>
      <c r="EF31" s="166">
        <f t="shared" si="11"/>
        <v>0</v>
      </c>
      <c r="EG31" s="166">
        <f t="shared" si="11"/>
        <v>0</v>
      </c>
      <c r="EH31" s="166">
        <f t="shared" si="11"/>
        <v>0</v>
      </c>
      <c r="EI31" s="166">
        <f t="shared" si="11"/>
        <v>0</v>
      </c>
      <c r="EJ31" s="166">
        <f t="shared" si="11"/>
        <v>0</v>
      </c>
      <c r="EK31" s="166">
        <f t="shared" si="11"/>
        <v>0</v>
      </c>
      <c r="EL31" s="166">
        <f t="shared" si="11"/>
        <v>0</v>
      </c>
      <c r="EM31" s="166">
        <f t="shared" si="11"/>
        <v>0</v>
      </c>
      <c r="EN31" s="166">
        <f t="shared" si="11"/>
        <v>0</v>
      </c>
      <c r="EO31" s="166">
        <f t="shared" si="11"/>
        <v>0</v>
      </c>
      <c r="EP31" s="166">
        <f t="shared" si="11"/>
        <v>0</v>
      </c>
      <c r="EQ31" s="166">
        <f t="shared" si="11"/>
        <v>0</v>
      </c>
      <c r="ER31" s="166">
        <f t="shared" si="11"/>
        <v>0</v>
      </c>
      <c r="ES31" s="164">
        <f>AVERAGE(ES9:ES30)</f>
        <v>0</v>
      </c>
      <c r="ET31" s="1525"/>
      <c r="EU31" s="1525"/>
    </row>
    <row r="32" spans="1:151"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r8/96tAbmNWjMlpk6YDP1WKTDrJ8SfBwunw7LVsXsHEfxLm4WfyjN8QV+FcpvOrY8AubxsfN4LldUZclieD+aQ==" saltValue="UMWoZ0XJADQblzmP5b1ceg==" spinCount="100000" sheet="1" objects="1" scenarios="1"/>
  <mergeCells count="119">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DD5:DD7"/>
    <mergeCell ref="DE5:DE7"/>
    <mergeCell ref="DF5:DF7"/>
    <mergeCell ref="DG5:DG7"/>
    <mergeCell ref="I6:O6"/>
    <mergeCell ref="P6:R6"/>
    <mergeCell ref="S6:X6"/>
    <mergeCell ref="Y6:AB6"/>
    <mergeCell ref="AC6:AF6"/>
    <mergeCell ref="AG6:AJ6"/>
    <mergeCell ref="AK6:AN6"/>
    <mergeCell ref="ED5:ED7"/>
    <mergeCell ref="DS5:DS7"/>
    <mergeCell ref="DT5:DT7"/>
    <mergeCell ref="DU5:DU7"/>
    <mergeCell ref="DV5:DV7"/>
    <mergeCell ref="DW5:DW7"/>
    <mergeCell ref="DX5:DX7"/>
    <mergeCell ref="DY5:DY7"/>
    <mergeCell ref="DZ5:DZ7"/>
    <mergeCell ref="EA5:EA7"/>
    <mergeCell ref="EB5:EB7"/>
    <mergeCell ref="EC5:EC7"/>
    <mergeCell ref="DJ5:DJ7"/>
    <mergeCell ref="DK5:DK7"/>
    <mergeCell ref="DL5:DL7"/>
    <mergeCell ref="DM5:DM7"/>
    <mergeCell ref="DN5:DN7"/>
    <mergeCell ref="DH5:DH7"/>
    <mergeCell ref="DI5:DI7"/>
    <mergeCell ref="CR5:CR7"/>
    <mergeCell ref="CS5:CS7"/>
    <mergeCell ref="CT5:CT7"/>
    <mergeCell ref="CU5:CU7"/>
    <mergeCell ref="CV5:CV7"/>
    <mergeCell ref="CW5:CW7"/>
    <mergeCell ref="CX5:CX7"/>
    <mergeCell ref="CY5:CY7"/>
    <mergeCell ref="CZ5:CZ7"/>
    <mergeCell ref="CI5:CI7"/>
    <mergeCell ref="CJ5:CJ7"/>
    <mergeCell ref="CK5:CK7"/>
    <mergeCell ref="CL5:CL7"/>
    <mergeCell ref="CM5:CM7"/>
    <mergeCell ref="CN5:CN7"/>
    <mergeCell ref="CO5:CO7"/>
    <mergeCell ref="CP5:CP7"/>
    <mergeCell ref="CQ5:CQ7"/>
    <mergeCell ref="BZ5:BZ7"/>
    <mergeCell ref="CA5:CA7"/>
    <mergeCell ref="CB5:CB7"/>
    <mergeCell ref="CC5:CC7"/>
    <mergeCell ref="CD5:CD7"/>
    <mergeCell ref="CE5:CE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BK5:BK7"/>
    <mergeCell ref="BL5:BL7"/>
    <mergeCell ref="BM5:BM7"/>
    <mergeCell ref="BN5:BO5"/>
    <mergeCell ref="BP5:BQ5"/>
    <mergeCell ref="BR5:BS5"/>
    <mergeCell ref="ET5:ET7"/>
    <mergeCell ref="EU5:EU7"/>
    <mergeCell ref="ES5:ES7"/>
    <mergeCell ref="EP5:EP7"/>
    <mergeCell ref="EQ5:EQ7"/>
    <mergeCell ref="ER5:ER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s>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10:AX13 AS16:AX22 BK12:BX13 CA12:CJ13 BH25:BX25 BZ28:DG29 CV16:DG22 BZ25:DL25 DH20:DL21 DH16:DL18 CV11:DL13 BJ10:DL10 BK20:CU21 BK16:CJ16 BH9:EA9 EB16:EK22 EO28:ER29 EO16:ER22 DF9:DF13 AU9:AU13 AW9:AW12 DM10:EN13 EO9:ES13">
    <cfRule type="cellIs" dxfId="1220" priority="1934" stopIfTrue="1" operator="equal">
      <formula>$A$43</formula>
    </cfRule>
  </conditionalFormatting>
  <conditionalFormatting sqref="BD15:BG15 BD27:BG27 I8:DF8 BH26:DF27 I1:DG1 BH23:EJ23 I23:BC24 I26:BC27 I14:BC15 DJ8 BH14:DL15 BD24:DL24 EB24:EK24 I30:DL31 EM14:EN14 EO8:ER8 EO30:ER30 EO15:ER15 EO24:ER24">
    <cfRule type="cellIs" dxfId="1219" priority="1935"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O11:ER11 EO17:ER17 EO19:ES19 EO22:ES22">
    <cfRule type="cellIs" dxfId="1218" priority="1936" stopIfTrue="1" operator="equal">
      <formula>$A$42</formula>
    </cfRule>
  </conditionalFormatting>
  <conditionalFormatting sqref="BT17:BU17">
    <cfRule type="cellIs" dxfId="1217" priority="1933" stopIfTrue="1" operator="equal">
      <formula>$A$43</formula>
    </cfRule>
  </conditionalFormatting>
  <conditionalFormatting sqref="DE25">
    <cfRule type="cellIs" dxfId="1216" priority="1932" stopIfTrue="1" operator="equal">
      <formula>$A$43</formula>
    </cfRule>
  </conditionalFormatting>
  <conditionalFormatting sqref="DE24">
    <cfRule type="cellIs" dxfId="1215" priority="1931" stopIfTrue="1" operator="equal">
      <formula>$A$43</formula>
    </cfRule>
  </conditionalFormatting>
  <conditionalFormatting sqref="DE17">
    <cfRule type="cellIs" dxfId="1214" priority="1930" stopIfTrue="1" operator="equal">
      <formula>$A$42</formula>
    </cfRule>
  </conditionalFormatting>
  <conditionalFormatting sqref="BN28">
    <cfRule type="cellIs" dxfId="1213" priority="1929" stopIfTrue="1" operator="equal">
      <formula>$A$43</formula>
    </cfRule>
  </conditionalFormatting>
  <conditionalFormatting sqref="BN26:BU27">
    <cfRule type="cellIs" dxfId="1212" priority="1928" stopIfTrue="1" operator="equal">
      <formula>$A$43</formula>
    </cfRule>
  </conditionalFormatting>
  <conditionalFormatting sqref="BN17:BU17">
    <cfRule type="cellIs" dxfId="1211" priority="1927" stopIfTrue="1" operator="equal">
      <formula>$A$42</formula>
    </cfRule>
  </conditionalFormatting>
  <conditionalFormatting sqref="BN13:BO13">
    <cfRule type="cellIs" dxfId="1210" priority="1925" stopIfTrue="1" operator="equal">
      <formula>$A$42</formula>
    </cfRule>
  </conditionalFormatting>
  <conditionalFormatting sqref="BT13:BU13">
    <cfRule type="cellIs" dxfId="1209" priority="1924" stopIfTrue="1" operator="equal">
      <formula>$A$42</formula>
    </cfRule>
  </conditionalFormatting>
  <conditionalFormatting sqref="DB26:DE27">
    <cfRule type="cellIs" dxfId="1208" priority="1921" stopIfTrue="1" operator="equal">
      <formula>$A$43</formula>
    </cfRule>
  </conditionalFormatting>
  <conditionalFormatting sqref="DB17:DE17">
    <cfRule type="cellIs" dxfId="1207" priority="1920" stopIfTrue="1" operator="equal">
      <formula>$A$42</formula>
    </cfRule>
  </conditionalFormatting>
  <conditionalFormatting sqref="DB26:DE27">
    <cfRule type="cellIs" dxfId="1206" priority="1917" stopIfTrue="1" operator="equal">
      <formula>$A$43</formula>
    </cfRule>
  </conditionalFormatting>
  <conditionalFormatting sqref="DB17:DE17">
    <cfRule type="cellIs" dxfId="1205" priority="1916" stopIfTrue="1" operator="equal">
      <formula>$A$42</formula>
    </cfRule>
  </conditionalFormatting>
  <conditionalFormatting sqref="DB16">
    <cfRule type="cellIs" dxfId="1204" priority="1914" stopIfTrue="1" operator="equal">
      <formula>$A$42</formula>
    </cfRule>
  </conditionalFormatting>
  <conditionalFormatting sqref="DE18">
    <cfRule type="cellIs" dxfId="1203" priority="1913" stopIfTrue="1" operator="equal">
      <formula>$A$42</formula>
    </cfRule>
  </conditionalFormatting>
  <conditionalFormatting sqref="DE21">
    <cfRule type="cellIs" dxfId="1202" priority="1912" stopIfTrue="1" operator="equal">
      <formula>$A$42</formula>
    </cfRule>
  </conditionalFormatting>
  <conditionalFormatting sqref="DB16:DE22">
    <cfRule type="cellIs" dxfId="1201" priority="1909" stopIfTrue="1" operator="equal">
      <formula>$A$43</formula>
    </cfRule>
  </conditionalFormatting>
  <conditionalFormatting sqref="DB14:DE15">
    <cfRule type="cellIs" dxfId="1200" priority="1908" stopIfTrue="1" operator="equal">
      <formula>$A$43</formula>
    </cfRule>
  </conditionalFormatting>
  <conditionalFormatting sqref="DB17:DE17">
    <cfRule type="cellIs" dxfId="1199" priority="1907" stopIfTrue="1" operator="equal">
      <formula>$A$42</formula>
    </cfRule>
  </conditionalFormatting>
  <conditionalFormatting sqref="DB16:DE22">
    <cfRule type="cellIs" dxfId="1198" priority="1905" stopIfTrue="1" operator="equal">
      <formula>$A$43</formula>
    </cfRule>
  </conditionalFormatting>
  <conditionalFormatting sqref="DB14:DE15">
    <cfRule type="cellIs" dxfId="1197" priority="1904" stopIfTrue="1" operator="equal">
      <formula>$A$43</formula>
    </cfRule>
  </conditionalFormatting>
  <conditionalFormatting sqref="DB17:DE17">
    <cfRule type="cellIs" dxfId="1196" priority="1903" stopIfTrue="1" operator="equal">
      <formula>$A$42</formula>
    </cfRule>
  </conditionalFormatting>
  <conditionalFormatting sqref="DB16">
    <cfRule type="cellIs" dxfId="1195" priority="1901" stopIfTrue="1" operator="equal">
      <formula>$A$42</formula>
    </cfRule>
  </conditionalFormatting>
  <conditionalFormatting sqref="DE18">
    <cfRule type="cellIs" dxfId="1194" priority="1900" stopIfTrue="1" operator="equal">
      <formula>$A$42</formula>
    </cfRule>
  </conditionalFormatting>
  <conditionalFormatting sqref="DE21">
    <cfRule type="cellIs" dxfId="1193" priority="1899" stopIfTrue="1" operator="equal">
      <formula>$A$42</formula>
    </cfRule>
  </conditionalFormatting>
  <conditionalFormatting sqref="DB13">
    <cfRule type="cellIs" dxfId="1192" priority="1898" stopIfTrue="1" operator="equal">
      <formula>$A$43</formula>
    </cfRule>
  </conditionalFormatting>
  <conditionalFormatting sqref="DB13">
    <cfRule type="cellIs" dxfId="1191" priority="1897" stopIfTrue="1" operator="equal">
      <formula>$A$43</formula>
    </cfRule>
  </conditionalFormatting>
  <conditionalFormatting sqref="DB13">
    <cfRule type="cellIs" dxfId="1190" priority="1896" stopIfTrue="1" operator="equal">
      <formula>$A$43</formula>
    </cfRule>
  </conditionalFormatting>
  <conditionalFormatting sqref="DB13">
    <cfRule type="cellIs" dxfId="1189" priority="1895" stopIfTrue="1" operator="equal">
      <formula>$A$43</formula>
    </cfRule>
  </conditionalFormatting>
  <conditionalFormatting sqref="DB13">
    <cfRule type="cellIs" dxfId="1188" priority="1894" stopIfTrue="1" operator="equal">
      <formula>$A$43</formula>
    </cfRule>
  </conditionalFormatting>
  <conditionalFormatting sqref="DB13">
    <cfRule type="cellIs" dxfId="1187" priority="1893" stopIfTrue="1" operator="equal">
      <formula>$A$43</formula>
    </cfRule>
  </conditionalFormatting>
  <conditionalFormatting sqref="DF1:DG1">
    <cfRule type="cellIs" dxfId="1186" priority="1892" stopIfTrue="1" operator="equal">
      <formula>$A$43</formula>
    </cfRule>
  </conditionalFormatting>
  <conditionalFormatting sqref="DF25">
    <cfRule type="cellIs" dxfId="1185" priority="1891" stopIfTrue="1" operator="equal">
      <formula>$A$43</formula>
    </cfRule>
  </conditionalFormatting>
  <conditionalFormatting sqref="DF24">
    <cfRule type="cellIs" dxfId="1184" priority="1890" stopIfTrue="1" operator="equal">
      <formula>$A$43</formula>
    </cfRule>
  </conditionalFormatting>
  <conditionalFormatting sqref="DF17">
    <cfRule type="cellIs" dxfId="1183" priority="1889" stopIfTrue="1" operator="equal">
      <formula>$A$42</formula>
    </cfRule>
  </conditionalFormatting>
  <conditionalFormatting sqref="DF26:DF27">
    <cfRule type="cellIs" dxfId="1182" priority="1887" stopIfTrue="1" operator="equal">
      <formula>$A$43</formula>
    </cfRule>
  </conditionalFormatting>
  <conditionalFormatting sqref="DF17">
    <cfRule type="cellIs" dxfId="1181" priority="1886" stopIfTrue="1" operator="equal">
      <formula>$A$42</formula>
    </cfRule>
  </conditionalFormatting>
  <conditionalFormatting sqref="DF26:DF27">
    <cfRule type="cellIs" dxfId="1180" priority="1884" stopIfTrue="1" operator="equal">
      <formula>$A$43</formula>
    </cfRule>
  </conditionalFormatting>
  <conditionalFormatting sqref="DF17">
    <cfRule type="cellIs" dxfId="1179" priority="1883" stopIfTrue="1" operator="equal">
      <formula>$A$42</formula>
    </cfRule>
  </conditionalFormatting>
  <conditionalFormatting sqref="DF18">
    <cfRule type="cellIs" dxfId="1178" priority="1882" stopIfTrue="1" operator="equal">
      <formula>$A$42</formula>
    </cfRule>
  </conditionalFormatting>
  <conditionalFormatting sqref="DF21">
    <cfRule type="cellIs" dxfId="1177" priority="1881" stopIfTrue="1" operator="equal">
      <formula>$A$42</formula>
    </cfRule>
  </conditionalFormatting>
  <conditionalFormatting sqref="DF16:DF22">
    <cfRule type="cellIs" dxfId="1176" priority="1878" stopIfTrue="1" operator="equal">
      <formula>$A$43</formula>
    </cfRule>
  </conditionalFormatting>
  <conditionalFormatting sqref="DF14:DF15">
    <cfRule type="cellIs" dxfId="1175" priority="1877" stopIfTrue="1" operator="equal">
      <formula>$A$43</formula>
    </cfRule>
  </conditionalFormatting>
  <conditionalFormatting sqref="DF17">
    <cfRule type="cellIs" dxfId="1174" priority="1876" stopIfTrue="1" operator="equal">
      <formula>$A$42</formula>
    </cfRule>
  </conditionalFormatting>
  <conditionalFormatting sqref="DF16:DF22">
    <cfRule type="cellIs" dxfId="1173" priority="1875" stopIfTrue="1" operator="equal">
      <formula>$A$43</formula>
    </cfRule>
  </conditionalFormatting>
  <conditionalFormatting sqref="DF14:DF15">
    <cfRule type="cellIs" dxfId="1172" priority="1874" stopIfTrue="1" operator="equal">
      <formula>$A$43</formula>
    </cfRule>
  </conditionalFormatting>
  <conditionalFormatting sqref="DF17">
    <cfRule type="cellIs" dxfId="1171" priority="1873" stopIfTrue="1" operator="equal">
      <formula>$A$42</formula>
    </cfRule>
  </conditionalFormatting>
  <conditionalFormatting sqref="DF18">
    <cfRule type="cellIs" dxfId="1170" priority="1872" stopIfTrue="1" operator="equal">
      <formula>$A$42</formula>
    </cfRule>
  </conditionalFormatting>
  <conditionalFormatting sqref="DF21">
    <cfRule type="cellIs" dxfId="1169" priority="1871" stopIfTrue="1" operator="equal">
      <formula>$A$42</formula>
    </cfRule>
  </conditionalFormatting>
  <conditionalFormatting sqref="DB26:DE27">
    <cfRule type="cellIs" dxfId="1168" priority="1869" stopIfTrue="1" operator="equal">
      <formula>$A$43</formula>
    </cfRule>
  </conditionalFormatting>
  <conditionalFormatting sqref="DB17:DE17">
    <cfRule type="cellIs" dxfId="1167" priority="1868" stopIfTrue="1" operator="equal">
      <formula>$A$42</formula>
    </cfRule>
  </conditionalFormatting>
  <conditionalFormatting sqref="DB26:DE27">
    <cfRule type="cellIs" dxfId="1166" priority="1865" stopIfTrue="1" operator="equal">
      <formula>$A$43</formula>
    </cfRule>
  </conditionalFormatting>
  <conditionalFormatting sqref="DB17:DE17">
    <cfRule type="cellIs" dxfId="1165" priority="1864" stopIfTrue="1" operator="equal">
      <formula>$A$42</formula>
    </cfRule>
  </conditionalFormatting>
  <conditionalFormatting sqref="DB16">
    <cfRule type="cellIs" dxfId="1164" priority="1862" stopIfTrue="1" operator="equal">
      <formula>$A$42</formula>
    </cfRule>
  </conditionalFormatting>
  <conditionalFormatting sqref="DE18">
    <cfRule type="cellIs" dxfId="1163" priority="1861" stopIfTrue="1" operator="equal">
      <formula>$A$42</formula>
    </cfRule>
  </conditionalFormatting>
  <conditionalFormatting sqref="DE21">
    <cfRule type="cellIs" dxfId="1162" priority="1860" stopIfTrue="1" operator="equal">
      <formula>$A$42</formula>
    </cfRule>
  </conditionalFormatting>
  <conditionalFormatting sqref="DB13">
    <cfRule type="cellIs" dxfId="1161" priority="1857" stopIfTrue="1" operator="equal">
      <formula>$A$43</formula>
    </cfRule>
  </conditionalFormatting>
  <conditionalFormatting sqref="DB13">
    <cfRule type="cellIs" dxfId="1160" priority="1856" stopIfTrue="1" operator="equal">
      <formula>$A$43</formula>
    </cfRule>
  </conditionalFormatting>
  <conditionalFormatting sqref="DB13">
    <cfRule type="cellIs" dxfId="1159" priority="1855" stopIfTrue="1" operator="equal">
      <formula>$A$43</formula>
    </cfRule>
  </conditionalFormatting>
  <conditionalFormatting sqref="DB13">
    <cfRule type="cellIs" dxfId="1158" priority="1854" stopIfTrue="1" operator="equal">
      <formula>$A$43</formula>
    </cfRule>
  </conditionalFormatting>
  <conditionalFormatting sqref="DB13">
    <cfRule type="cellIs" dxfId="1157" priority="1853" stopIfTrue="1" operator="equal">
      <formula>$A$43</formula>
    </cfRule>
  </conditionalFormatting>
  <conditionalFormatting sqref="DB13">
    <cfRule type="cellIs" dxfId="1156" priority="1852" stopIfTrue="1" operator="equal">
      <formula>$A$43</formula>
    </cfRule>
  </conditionalFormatting>
  <conditionalFormatting sqref="DF25">
    <cfRule type="cellIs" dxfId="1155" priority="1851" stopIfTrue="1" operator="equal">
      <formula>$A$43</formula>
    </cfRule>
  </conditionalFormatting>
  <conditionalFormatting sqref="DF24">
    <cfRule type="cellIs" dxfId="1154" priority="1850" stopIfTrue="1" operator="equal">
      <formula>$A$43</formula>
    </cfRule>
  </conditionalFormatting>
  <conditionalFormatting sqref="DF17">
    <cfRule type="cellIs" dxfId="1153" priority="1849" stopIfTrue="1" operator="equal">
      <formula>$A$42</formula>
    </cfRule>
  </conditionalFormatting>
  <conditionalFormatting sqref="DF26:DF27">
    <cfRule type="cellIs" dxfId="1152" priority="1847" stopIfTrue="1" operator="equal">
      <formula>$A$43</formula>
    </cfRule>
  </conditionalFormatting>
  <conditionalFormatting sqref="DF17">
    <cfRule type="cellIs" dxfId="1151" priority="1846" stopIfTrue="1" operator="equal">
      <formula>$A$42</formula>
    </cfRule>
  </conditionalFormatting>
  <conditionalFormatting sqref="DF26:DF27">
    <cfRule type="cellIs" dxfId="1150" priority="1844" stopIfTrue="1" operator="equal">
      <formula>$A$43</formula>
    </cfRule>
  </conditionalFormatting>
  <conditionalFormatting sqref="DF17">
    <cfRule type="cellIs" dxfId="1149" priority="1843" stopIfTrue="1" operator="equal">
      <formula>$A$42</formula>
    </cfRule>
  </conditionalFormatting>
  <conditionalFormatting sqref="DF18">
    <cfRule type="cellIs" dxfId="1148" priority="1842" stopIfTrue="1" operator="equal">
      <formula>$A$42</formula>
    </cfRule>
  </conditionalFormatting>
  <conditionalFormatting sqref="DF21">
    <cfRule type="cellIs" dxfId="1147" priority="1841" stopIfTrue="1" operator="equal">
      <formula>$A$42</formula>
    </cfRule>
  </conditionalFormatting>
  <conditionalFormatting sqref="DF14:DF15">
    <cfRule type="cellIs" dxfId="1146" priority="1837" stopIfTrue="1" operator="equal">
      <formula>$A$43</formula>
    </cfRule>
  </conditionalFormatting>
  <conditionalFormatting sqref="DF17">
    <cfRule type="cellIs" dxfId="1145" priority="1836" stopIfTrue="1" operator="equal">
      <formula>$A$42</formula>
    </cfRule>
  </conditionalFormatting>
  <conditionalFormatting sqref="DF14:DF15">
    <cfRule type="cellIs" dxfId="1144" priority="1834" stopIfTrue="1" operator="equal">
      <formula>$A$43</formula>
    </cfRule>
  </conditionalFormatting>
  <conditionalFormatting sqref="DF17">
    <cfRule type="cellIs" dxfId="1143" priority="1833" stopIfTrue="1" operator="equal">
      <formula>$A$42</formula>
    </cfRule>
  </conditionalFormatting>
  <conditionalFormatting sqref="DF18">
    <cfRule type="cellIs" dxfId="1142" priority="1832" stopIfTrue="1" operator="equal">
      <formula>$A$42</formula>
    </cfRule>
  </conditionalFormatting>
  <conditionalFormatting sqref="DF21">
    <cfRule type="cellIs" dxfId="1141" priority="1831" stopIfTrue="1" operator="equal">
      <formula>$A$42</formula>
    </cfRule>
  </conditionalFormatting>
  <conditionalFormatting sqref="BN21:BO21">
    <cfRule type="cellIs" dxfId="1140" priority="1830" stopIfTrue="1" operator="equal">
      <formula>$A$43</formula>
    </cfRule>
  </conditionalFormatting>
  <conditionalFormatting sqref="BN28">
    <cfRule type="cellIs" dxfId="1139" priority="1829" stopIfTrue="1" operator="equal">
      <formula>$A$43</formula>
    </cfRule>
  </conditionalFormatting>
  <conditionalFormatting sqref="BT28">
    <cfRule type="cellIs" dxfId="1138" priority="1828" stopIfTrue="1" operator="equal">
      <formula>$A$43</formula>
    </cfRule>
  </conditionalFormatting>
  <conditionalFormatting sqref="DB26:DE27">
    <cfRule type="cellIs" dxfId="1137" priority="1826" stopIfTrue="1" operator="equal">
      <formula>$A$43</formula>
    </cfRule>
  </conditionalFormatting>
  <conditionalFormatting sqref="DB17:DE17">
    <cfRule type="cellIs" dxfId="1136" priority="1825" stopIfTrue="1" operator="equal">
      <formula>$A$42</formula>
    </cfRule>
  </conditionalFormatting>
  <conditionalFormatting sqref="DB26:DE27">
    <cfRule type="cellIs" dxfId="1135" priority="1822" stopIfTrue="1" operator="equal">
      <formula>$A$43</formula>
    </cfRule>
  </conditionalFormatting>
  <conditionalFormatting sqref="DB17:DE17">
    <cfRule type="cellIs" dxfId="1134" priority="1821" stopIfTrue="1" operator="equal">
      <formula>$A$42</formula>
    </cfRule>
  </conditionalFormatting>
  <conditionalFormatting sqref="DB16">
    <cfRule type="cellIs" dxfId="1133" priority="1819" stopIfTrue="1" operator="equal">
      <formula>$A$42</formula>
    </cfRule>
  </conditionalFormatting>
  <conditionalFormatting sqref="DE18">
    <cfRule type="cellIs" dxfId="1132" priority="1818" stopIfTrue="1" operator="equal">
      <formula>$A$42</formula>
    </cfRule>
  </conditionalFormatting>
  <conditionalFormatting sqref="DE21">
    <cfRule type="cellIs" dxfId="1131" priority="1817" stopIfTrue="1" operator="equal">
      <formula>$A$42</formula>
    </cfRule>
  </conditionalFormatting>
  <conditionalFormatting sqref="DB13">
    <cfRule type="cellIs" dxfId="1130" priority="1814" stopIfTrue="1" operator="equal">
      <formula>$A$43</formula>
    </cfRule>
  </conditionalFormatting>
  <conditionalFormatting sqref="DB13">
    <cfRule type="cellIs" dxfId="1129" priority="1813" stopIfTrue="1" operator="equal">
      <formula>$A$43</formula>
    </cfRule>
  </conditionalFormatting>
  <conditionalFormatting sqref="DB13">
    <cfRule type="cellIs" dxfId="1128" priority="1812" stopIfTrue="1" operator="equal">
      <formula>$A$43</formula>
    </cfRule>
  </conditionalFormatting>
  <conditionalFormatting sqref="DB13">
    <cfRule type="cellIs" dxfId="1127" priority="1811" stopIfTrue="1" operator="equal">
      <formula>$A$43</formula>
    </cfRule>
  </conditionalFormatting>
  <conditionalFormatting sqref="DB13">
    <cfRule type="cellIs" dxfId="1126" priority="1810" stopIfTrue="1" operator="equal">
      <formula>$A$43</formula>
    </cfRule>
  </conditionalFormatting>
  <conditionalFormatting sqref="DB13">
    <cfRule type="cellIs" dxfId="1125" priority="1809" stopIfTrue="1" operator="equal">
      <formula>$A$43</formula>
    </cfRule>
  </conditionalFormatting>
  <conditionalFormatting sqref="DF25">
    <cfRule type="cellIs" dxfId="1124" priority="1808" stopIfTrue="1" operator="equal">
      <formula>$A$43</formula>
    </cfRule>
  </conditionalFormatting>
  <conditionalFormatting sqref="DF24">
    <cfRule type="cellIs" dxfId="1123" priority="1807" stopIfTrue="1" operator="equal">
      <formula>$A$43</formula>
    </cfRule>
  </conditionalFormatting>
  <conditionalFormatting sqref="DF17">
    <cfRule type="cellIs" dxfId="1122" priority="1806" stopIfTrue="1" operator="equal">
      <formula>$A$42</formula>
    </cfRule>
  </conditionalFormatting>
  <conditionalFormatting sqref="DF26:DF27">
    <cfRule type="cellIs" dxfId="1121" priority="1804" stopIfTrue="1" operator="equal">
      <formula>$A$43</formula>
    </cfRule>
  </conditionalFormatting>
  <conditionalFormatting sqref="DF17">
    <cfRule type="cellIs" dxfId="1120" priority="1803" stopIfTrue="1" operator="equal">
      <formula>$A$42</formula>
    </cfRule>
  </conditionalFormatting>
  <conditionalFormatting sqref="DF26:DF27">
    <cfRule type="cellIs" dxfId="1119" priority="1801" stopIfTrue="1" operator="equal">
      <formula>$A$43</formula>
    </cfRule>
  </conditionalFormatting>
  <conditionalFormatting sqref="DF17">
    <cfRule type="cellIs" dxfId="1118" priority="1800" stopIfTrue="1" operator="equal">
      <formula>$A$42</formula>
    </cfRule>
  </conditionalFormatting>
  <conditionalFormatting sqref="DF18">
    <cfRule type="cellIs" dxfId="1117" priority="1799" stopIfTrue="1" operator="equal">
      <formula>$A$42</formula>
    </cfRule>
  </conditionalFormatting>
  <conditionalFormatting sqref="DF21">
    <cfRule type="cellIs" dxfId="1116" priority="1798" stopIfTrue="1" operator="equal">
      <formula>$A$42</formula>
    </cfRule>
  </conditionalFormatting>
  <conditionalFormatting sqref="DF14:DF15">
    <cfRule type="cellIs" dxfId="1115" priority="1794" stopIfTrue="1" operator="equal">
      <formula>$A$43</formula>
    </cfRule>
  </conditionalFormatting>
  <conditionalFormatting sqref="DF17">
    <cfRule type="cellIs" dxfId="1114" priority="1793" stopIfTrue="1" operator="equal">
      <formula>$A$42</formula>
    </cfRule>
  </conditionalFormatting>
  <conditionalFormatting sqref="DF14:DF15">
    <cfRule type="cellIs" dxfId="1113" priority="1791" stopIfTrue="1" operator="equal">
      <formula>$A$43</formula>
    </cfRule>
  </conditionalFormatting>
  <conditionalFormatting sqref="DF17">
    <cfRule type="cellIs" dxfId="1112" priority="1790" stopIfTrue="1" operator="equal">
      <formula>$A$42</formula>
    </cfRule>
  </conditionalFormatting>
  <conditionalFormatting sqref="DF18">
    <cfRule type="cellIs" dxfId="1111" priority="1789" stopIfTrue="1" operator="equal">
      <formula>$A$42</formula>
    </cfRule>
  </conditionalFormatting>
  <conditionalFormatting sqref="DF21">
    <cfRule type="cellIs" dxfId="1110" priority="1788" stopIfTrue="1" operator="equal">
      <formula>$A$42</formula>
    </cfRule>
  </conditionalFormatting>
  <conditionalFormatting sqref="DB26:DE27">
    <cfRule type="cellIs" dxfId="1109" priority="1786" stopIfTrue="1" operator="equal">
      <formula>$A$43</formula>
    </cfRule>
  </conditionalFormatting>
  <conditionalFormatting sqref="DB17:DE17">
    <cfRule type="cellIs" dxfId="1108" priority="1785" stopIfTrue="1" operator="equal">
      <formula>$A$42</formula>
    </cfRule>
  </conditionalFormatting>
  <conditionalFormatting sqref="DB26:DE27">
    <cfRule type="cellIs" dxfId="1107" priority="1782" stopIfTrue="1" operator="equal">
      <formula>$A$43</formula>
    </cfRule>
  </conditionalFormatting>
  <conditionalFormatting sqref="DB17:DE17">
    <cfRule type="cellIs" dxfId="1106" priority="1781" stopIfTrue="1" operator="equal">
      <formula>$A$42</formula>
    </cfRule>
  </conditionalFormatting>
  <conditionalFormatting sqref="DB16">
    <cfRule type="cellIs" dxfId="1105" priority="1779" stopIfTrue="1" operator="equal">
      <formula>$A$42</formula>
    </cfRule>
  </conditionalFormatting>
  <conditionalFormatting sqref="DE18">
    <cfRule type="cellIs" dxfId="1104" priority="1778" stopIfTrue="1" operator="equal">
      <formula>$A$42</formula>
    </cfRule>
  </conditionalFormatting>
  <conditionalFormatting sqref="DE21">
    <cfRule type="cellIs" dxfId="1103" priority="1777" stopIfTrue="1" operator="equal">
      <formula>$A$42</formula>
    </cfRule>
  </conditionalFormatting>
  <conditionalFormatting sqref="DB13">
    <cfRule type="cellIs" dxfId="1102" priority="1774" stopIfTrue="1" operator="equal">
      <formula>$A$43</formula>
    </cfRule>
  </conditionalFormatting>
  <conditionalFormatting sqref="DB13">
    <cfRule type="cellIs" dxfId="1101" priority="1773" stopIfTrue="1" operator="equal">
      <formula>$A$43</formula>
    </cfRule>
  </conditionalFormatting>
  <conditionalFormatting sqref="DB13">
    <cfRule type="cellIs" dxfId="1100" priority="1772" stopIfTrue="1" operator="equal">
      <formula>$A$43</formula>
    </cfRule>
  </conditionalFormatting>
  <conditionalFormatting sqref="DB13">
    <cfRule type="cellIs" dxfId="1099" priority="1771" stopIfTrue="1" operator="equal">
      <formula>$A$43</formula>
    </cfRule>
  </conditionalFormatting>
  <conditionalFormatting sqref="DB13">
    <cfRule type="cellIs" dxfId="1098" priority="1770" stopIfTrue="1" operator="equal">
      <formula>$A$43</formula>
    </cfRule>
  </conditionalFormatting>
  <conditionalFormatting sqref="DB13">
    <cfRule type="cellIs" dxfId="1097" priority="1769" stopIfTrue="1" operator="equal">
      <formula>$A$43</formula>
    </cfRule>
  </conditionalFormatting>
  <conditionalFormatting sqref="DF25">
    <cfRule type="cellIs" dxfId="1096" priority="1768" stopIfTrue="1" operator="equal">
      <formula>$A$43</formula>
    </cfRule>
  </conditionalFormatting>
  <conditionalFormatting sqref="DF24">
    <cfRule type="cellIs" dxfId="1095" priority="1767" stopIfTrue="1" operator="equal">
      <formula>$A$43</formula>
    </cfRule>
  </conditionalFormatting>
  <conditionalFormatting sqref="DF17">
    <cfRule type="cellIs" dxfId="1094" priority="1766" stopIfTrue="1" operator="equal">
      <formula>$A$42</formula>
    </cfRule>
  </conditionalFormatting>
  <conditionalFormatting sqref="DF26:DF27">
    <cfRule type="cellIs" dxfId="1093" priority="1764" stopIfTrue="1" operator="equal">
      <formula>$A$43</formula>
    </cfRule>
  </conditionalFormatting>
  <conditionalFormatting sqref="DF17">
    <cfRule type="cellIs" dxfId="1092" priority="1763" stopIfTrue="1" operator="equal">
      <formula>$A$42</formula>
    </cfRule>
  </conditionalFormatting>
  <conditionalFormatting sqref="DF26:DF27">
    <cfRule type="cellIs" dxfId="1091" priority="1761" stopIfTrue="1" operator="equal">
      <formula>$A$43</formula>
    </cfRule>
  </conditionalFormatting>
  <conditionalFormatting sqref="DF17">
    <cfRule type="cellIs" dxfId="1090" priority="1760" stopIfTrue="1" operator="equal">
      <formula>$A$42</formula>
    </cfRule>
  </conditionalFormatting>
  <conditionalFormatting sqref="DF18">
    <cfRule type="cellIs" dxfId="1089" priority="1759" stopIfTrue="1" operator="equal">
      <formula>$A$42</formula>
    </cfRule>
  </conditionalFormatting>
  <conditionalFormatting sqref="DF21">
    <cfRule type="cellIs" dxfId="1088" priority="1758" stopIfTrue="1" operator="equal">
      <formula>$A$42</formula>
    </cfRule>
  </conditionalFormatting>
  <conditionalFormatting sqref="DF14:DF15">
    <cfRule type="cellIs" dxfId="1087" priority="1754" stopIfTrue="1" operator="equal">
      <formula>$A$43</formula>
    </cfRule>
  </conditionalFormatting>
  <conditionalFormatting sqref="DF17">
    <cfRule type="cellIs" dxfId="1086" priority="1753" stopIfTrue="1" operator="equal">
      <formula>$A$42</formula>
    </cfRule>
  </conditionalFormatting>
  <conditionalFormatting sqref="DF14:DF15">
    <cfRule type="cellIs" dxfId="1085" priority="1751" stopIfTrue="1" operator="equal">
      <formula>$A$43</formula>
    </cfRule>
  </conditionalFormatting>
  <conditionalFormatting sqref="DF17">
    <cfRule type="cellIs" dxfId="1084" priority="1750" stopIfTrue="1" operator="equal">
      <formula>$A$42</formula>
    </cfRule>
  </conditionalFormatting>
  <conditionalFormatting sqref="DF18">
    <cfRule type="cellIs" dxfId="1083" priority="1749" stopIfTrue="1" operator="equal">
      <formula>$A$42</formula>
    </cfRule>
  </conditionalFormatting>
  <conditionalFormatting sqref="DF21">
    <cfRule type="cellIs" dxfId="1082" priority="1748" stopIfTrue="1" operator="equal">
      <formula>$A$42</formula>
    </cfRule>
  </conditionalFormatting>
  <conditionalFormatting sqref="DB26:DE27">
    <cfRule type="cellIs" dxfId="1081" priority="1746" stopIfTrue="1" operator="equal">
      <formula>$A$43</formula>
    </cfRule>
  </conditionalFormatting>
  <conditionalFormatting sqref="DB17:DE17">
    <cfRule type="cellIs" dxfId="1080" priority="1745" stopIfTrue="1" operator="equal">
      <formula>$A$42</formula>
    </cfRule>
  </conditionalFormatting>
  <conditionalFormatting sqref="DB26:DE27">
    <cfRule type="cellIs" dxfId="1079" priority="1742" stopIfTrue="1" operator="equal">
      <formula>$A$43</formula>
    </cfRule>
  </conditionalFormatting>
  <conditionalFormatting sqref="DB17:DE17">
    <cfRule type="cellIs" dxfId="1078" priority="1741" stopIfTrue="1" operator="equal">
      <formula>$A$42</formula>
    </cfRule>
  </conditionalFormatting>
  <conditionalFormatting sqref="DB16">
    <cfRule type="cellIs" dxfId="1077" priority="1739" stopIfTrue="1" operator="equal">
      <formula>$A$42</formula>
    </cfRule>
  </conditionalFormatting>
  <conditionalFormatting sqref="DE18">
    <cfRule type="cellIs" dxfId="1076" priority="1738" stopIfTrue="1" operator="equal">
      <formula>$A$42</formula>
    </cfRule>
  </conditionalFormatting>
  <conditionalFormatting sqref="DE21">
    <cfRule type="cellIs" dxfId="1075" priority="1737" stopIfTrue="1" operator="equal">
      <formula>$A$42</formula>
    </cfRule>
  </conditionalFormatting>
  <conditionalFormatting sqref="DB13">
    <cfRule type="cellIs" dxfId="1074" priority="1734" stopIfTrue="1" operator="equal">
      <formula>$A$43</formula>
    </cfRule>
  </conditionalFormatting>
  <conditionalFormatting sqref="DB13">
    <cfRule type="cellIs" dxfId="1073" priority="1733" stopIfTrue="1" operator="equal">
      <formula>$A$43</formula>
    </cfRule>
  </conditionalFormatting>
  <conditionalFormatting sqref="DB13">
    <cfRule type="cellIs" dxfId="1072" priority="1732" stopIfTrue="1" operator="equal">
      <formula>$A$43</formula>
    </cfRule>
  </conditionalFormatting>
  <conditionalFormatting sqref="DB13">
    <cfRule type="cellIs" dxfId="1071" priority="1731" stopIfTrue="1" operator="equal">
      <formula>$A$43</formula>
    </cfRule>
  </conditionalFormatting>
  <conditionalFormatting sqref="DB13">
    <cfRule type="cellIs" dxfId="1070" priority="1730" stopIfTrue="1" operator="equal">
      <formula>$A$43</formula>
    </cfRule>
  </conditionalFormatting>
  <conditionalFormatting sqref="DB13">
    <cfRule type="cellIs" dxfId="1069" priority="1729" stopIfTrue="1" operator="equal">
      <formula>$A$43</formula>
    </cfRule>
  </conditionalFormatting>
  <conditionalFormatting sqref="DF25">
    <cfRule type="cellIs" dxfId="1068" priority="1728" stopIfTrue="1" operator="equal">
      <formula>$A$43</formula>
    </cfRule>
  </conditionalFormatting>
  <conditionalFormatting sqref="DF24">
    <cfRule type="cellIs" dxfId="1067" priority="1727" stopIfTrue="1" operator="equal">
      <formula>$A$43</formula>
    </cfRule>
  </conditionalFormatting>
  <conditionalFormatting sqref="DF17">
    <cfRule type="cellIs" dxfId="1066" priority="1726" stopIfTrue="1" operator="equal">
      <formula>$A$42</formula>
    </cfRule>
  </conditionalFormatting>
  <conditionalFormatting sqref="DF26:DF27">
    <cfRule type="cellIs" dxfId="1065" priority="1724" stopIfTrue="1" operator="equal">
      <formula>$A$43</formula>
    </cfRule>
  </conditionalFormatting>
  <conditionalFormatting sqref="DF17">
    <cfRule type="cellIs" dxfId="1064" priority="1723" stopIfTrue="1" operator="equal">
      <formula>$A$42</formula>
    </cfRule>
  </conditionalFormatting>
  <conditionalFormatting sqref="DF26:DF27">
    <cfRule type="cellIs" dxfId="1063" priority="1721" stopIfTrue="1" operator="equal">
      <formula>$A$43</formula>
    </cfRule>
  </conditionalFormatting>
  <conditionalFormatting sqref="DF17">
    <cfRule type="cellIs" dxfId="1062" priority="1720" stopIfTrue="1" operator="equal">
      <formula>$A$42</formula>
    </cfRule>
  </conditionalFormatting>
  <conditionalFormatting sqref="DF18">
    <cfRule type="cellIs" dxfId="1061" priority="1719" stopIfTrue="1" operator="equal">
      <formula>$A$42</formula>
    </cfRule>
  </conditionalFormatting>
  <conditionalFormatting sqref="DF21">
    <cfRule type="cellIs" dxfId="1060" priority="1718" stopIfTrue="1" operator="equal">
      <formula>$A$42</formula>
    </cfRule>
  </conditionalFormatting>
  <conditionalFormatting sqref="DF14:DF15">
    <cfRule type="cellIs" dxfId="1059" priority="1714" stopIfTrue="1" operator="equal">
      <formula>$A$43</formula>
    </cfRule>
  </conditionalFormatting>
  <conditionalFormatting sqref="DF17">
    <cfRule type="cellIs" dxfId="1058" priority="1713" stopIfTrue="1" operator="equal">
      <formula>$A$42</formula>
    </cfRule>
  </conditionalFormatting>
  <conditionalFormatting sqref="DF14:DF15">
    <cfRule type="cellIs" dxfId="1057" priority="1711" stopIfTrue="1" operator="equal">
      <formula>$A$43</formula>
    </cfRule>
  </conditionalFormatting>
  <conditionalFormatting sqref="DF17">
    <cfRule type="cellIs" dxfId="1056" priority="1710" stopIfTrue="1" operator="equal">
      <formula>$A$42</formula>
    </cfRule>
  </conditionalFormatting>
  <conditionalFormatting sqref="DF18">
    <cfRule type="cellIs" dxfId="1055" priority="1709" stopIfTrue="1" operator="equal">
      <formula>$A$42</formula>
    </cfRule>
  </conditionalFormatting>
  <conditionalFormatting sqref="DF21">
    <cfRule type="cellIs" dxfId="1054" priority="1708" stopIfTrue="1" operator="equal">
      <formula>$A$42</formula>
    </cfRule>
  </conditionalFormatting>
  <conditionalFormatting sqref="BY26:BZ27">
    <cfRule type="cellIs" dxfId="1053" priority="1706" stopIfTrue="1" operator="equal">
      <formula>$A$43</formula>
    </cfRule>
  </conditionalFormatting>
  <conditionalFormatting sqref="DB26:DD27">
    <cfRule type="cellIs" dxfId="1052" priority="1704" stopIfTrue="1" operator="equal">
      <formula>$A$43</formula>
    </cfRule>
  </conditionalFormatting>
  <conditionalFormatting sqref="DB17:DD17">
    <cfRule type="cellIs" dxfId="1051" priority="1703" stopIfTrue="1" operator="equal">
      <formula>$A$42</formula>
    </cfRule>
  </conditionalFormatting>
  <conditionalFormatting sqref="DB26:DD27">
    <cfRule type="cellIs" dxfId="1050" priority="1700" stopIfTrue="1" operator="equal">
      <formula>$A$43</formula>
    </cfRule>
  </conditionalFormatting>
  <conditionalFormatting sqref="DB17:DD17">
    <cfRule type="cellIs" dxfId="1049" priority="1699" stopIfTrue="1" operator="equal">
      <formula>$A$42</formula>
    </cfRule>
  </conditionalFormatting>
  <conditionalFormatting sqref="DB16">
    <cfRule type="cellIs" dxfId="1048" priority="1697" stopIfTrue="1" operator="equal">
      <formula>$A$42</formula>
    </cfRule>
  </conditionalFormatting>
  <conditionalFormatting sqref="DB13">
    <cfRule type="cellIs" dxfId="1047" priority="1696" stopIfTrue="1" operator="equal">
      <formula>$A$43</formula>
    </cfRule>
  </conditionalFormatting>
  <conditionalFormatting sqref="DB13">
    <cfRule type="cellIs" dxfId="1046" priority="1695" stopIfTrue="1" operator="equal">
      <formula>$A$43</formula>
    </cfRule>
  </conditionalFormatting>
  <conditionalFormatting sqref="DB13">
    <cfRule type="cellIs" dxfId="1045" priority="1694" stopIfTrue="1" operator="equal">
      <formula>$A$43</formula>
    </cfRule>
  </conditionalFormatting>
  <conditionalFormatting sqref="DB13">
    <cfRule type="cellIs" dxfId="1044" priority="1693" stopIfTrue="1" operator="equal">
      <formula>$A$43</formula>
    </cfRule>
  </conditionalFormatting>
  <conditionalFormatting sqref="DB13">
    <cfRule type="cellIs" dxfId="1043" priority="1692" stopIfTrue="1" operator="equal">
      <formula>$A$43</formula>
    </cfRule>
  </conditionalFormatting>
  <conditionalFormatting sqref="DB13">
    <cfRule type="cellIs" dxfId="1042" priority="1691" stopIfTrue="1" operator="equal">
      <formula>$A$43</formula>
    </cfRule>
  </conditionalFormatting>
  <conditionalFormatting sqref="AS17">
    <cfRule type="cellIs" dxfId="1041" priority="1690" stopIfTrue="1" operator="equal">
      <formula>$A$42</formula>
    </cfRule>
  </conditionalFormatting>
  <conditionalFormatting sqref="AS26:AS27">
    <cfRule type="cellIs" dxfId="1040" priority="1688" stopIfTrue="1" operator="equal">
      <formula>$A$43</formula>
    </cfRule>
  </conditionalFormatting>
  <conditionalFormatting sqref="AS17">
    <cfRule type="cellIs" dxfId="1039" priority="1687" stopIfTrue="1" operator="equal">
      <formula>$A$42</formula>
    </cfRule>
  </conditionalFormatting>
  <conditionalFormatting sqref="AS26:AS27">
    <cfRule type="cellIs" dxfId="1038" priority="1685" stopIfTrue="1" operator="equal">
      <formula>$A$43</formula>
    </cfRule>
  </conditionalFormatting>
  <conditionalFormatting sqref="AS17">
    <cfRule type="cellIs" dxfId="1037" priority="1684" stopIfTrue="1" operator="equal">
      <formula>$A$42</formula>
    </cfRule>
  </conditionalFormatting>
  <conditionalFormatting sqref="AS16">
    <cfRule type="cellIs" dxfId="1036" priority="1683" stopIfTrue="1" operator="equal">
      <formula>$A$42</formula>
    </cfRule>
  </conditionalFormatting>
  <conditionalFormatting sqref="AS16:AS22">
    <cfRule type="cellIs" dxfId="1035" priority="1682" stopIfTrue="1" operator="equal">
      <formula>$A$43</formula>
    </cfRule>
  </conditionalFormatting>
  <conditionalFormatting sqref="AS14:AS15">
    <cfRule type="cellIs" dxfId="1034" priority="1681" stopIfTrue="1" operator="equal">
      <formula>$A$43</formula>
    </cfRule>
  </conditionalFormatting>
  <conditionalFormatting sqref="AS17">
    <cfRule type="cellIs" dxfId="1033" priority="1680" stopIfTrue="1" operator="equal">
      <formula>$A$42</formula>
    </cfRule>
  </conditionalFormatting>
  <conditionalFormatting sqref="AS16:AS22">
    <cfRule type="cellIs" dxfId="1032" priority="1679" stopIfTrue="1" operator="equal">
      <formula>$A$43</formula>
    </cfRule>
  </conditionalFormatting>
  <conditionalFormatting sqref="AS14:AS15">
    <cfRule type="cellIs" dxfId="1031" priority="1678" stopIfTrue="1" operator="equal">
      <formula>$A$43</formula>
    </cfRule>
  </conditionalFormatting>
  <conditionalFormatting sqref="AS17">
    <cfRule type="cellIs" dxfId="1030" priority="1677" stopIfTrue="1" operator="equal">
      <formula>$A$42</formula>
    </cfRule>
  </conditionalFormatting>
  <conditionalFormatting sqref="AS16">
    <cfRule type="cellIs" dxfId="1029" priority="1676" stopIfTrue="1" operator="equal">
      <formula>$A$42</formula>
    </cfRule>
  </conditionalFormatting>
  <conditionalFormatting sqref="AS13">
    <cfRule type="cellIs" dxfId="1028" priority="1675" stopIfTrue="1" operator="equal">
      <formula>$A$43</formula>
    </cfRule>
  </conditionalFormatting>
  <conditionalFormatting sqref="AS13">
    <cfRule type="cellIs" dxfId="1027" priority="1674" stopIfTrue="1" operator="equal">
      <formula>$A$43</formula>
    </cfRule>
  </conditionalFormatting>
  <conditionalFormatting sqref="AS13">
    <cfRule type="cellIs" dxfId="1026" priority="1673" stopIfTrue="1" operator="equal">
      <formula>$A$43</formula>
    </cfRule>
  </conditionalFormatting>
  <conditionalFormatting sqref="AS13">
    <cfRule type="cellIs" dxfId="1025" priority="1672" stopIfTrue="1" operator="equal">
      <formula>$A$43</formula>
    </cfRule>
  </conditionalFormatting>
  <conditionalFormatting sqref="AS13">
    <cfRule type="cellIs" dxfId="1024" priority="1671" stopIfTrue="1" operator="equal">
      <formula>$A$43</formula>
    </cfRule>
  </conditionalFormatting>
  <conditionalFormatting sqref="AS13">
    <cfRule type="cellIs" dxfId="1023" priority="1670" stopIfTrue="1" operator="equal">
      <formula>$A$43</formula>
    </cfRule>
  </conditionalFormatting>
  <conditionalFormatting sqref="AS26:AS27">
    <cfRule type="cellIs" dxfId="1022" priority="1668" stopIfTrue="1" operator="equal">
      <formula>$A$43</formula>
    </cfRule>
  </conditionalFormatting>
  <conditionalFormatting sqref="AS17">
    <cfRule type="cellIs" dxfId="1021" priority="1667" stopIfTrue="1" operator="equal">
      <formula>$A$42</formula>
    </cfRule>
  </conditionalFormatting>
  <conditionalFormatting sqref="AS26:AS27">
    <cfRule type="cellIs" dxfId="1020" priority="1665" stopIfTrue="1" operator="equal">
      <formula>$A$43</formula>
    </cfRule>
  </conditionalFormatting>
  <conditionalFormatting sqref="AS17">
    <cfRule type="cellIs" dxfId="1019" priority="1664" stopIfTrue="1" operator="equal">
      <formula>$A$42</formula>
    </cfRule>
  </conditionalFormatting>
  <conditionalFormatting sqref="AS16">
    <cfRule type="cellIs" dxfId="1018" priority="1663" stopIfTrue="1" operator="equal">
      <formula>$A$42</formula>
    </cfRule>
  </conditionalFormatting>
  <conditionalFormatting sqref="AS13">
    <cfRule type="cellIs" dxfId="1017" priority="1662" stopIfTrue="1" operator="equal">
      <formula>$A$43</formula>
    </cfRule>
  </conditionalFormatting>
  <conditionalFormatting sqref="AS13">
    <cfRule type="cellIs" dxfId="1016" priority="1661" stopIfTrue="1" operator="equal">
      <formula>$A$43</formula>
    </cfRule>
  </conditionalFormatting>
  <conditionalFormatting sqref="AS13">
    <cfRule type="cellIs" dxfId="1015" priority="1660" stopIfTrue="1" operator="equal">
      <formula>$A$43</formula>
    </cfRule>
  </conditionalFormatting>
  <conditionalFormatting sqref="AS13">
    <cfRule type="cellIs" dxfId="1014" priority="1659" stopIfTrue="1" operator="equal">
      <formula>$A$43</formula>
    </cfRule>
  </conditionalFormatting>
  <conditionalFormatting sqref="AS13">
    <cfRule type="cellIs" dxfId="1013" priority="1658" stopIfTrue="1" operator="equal">
      <formula>$A$43</formula>
    </cfRule>
  </conditionalFormatting>
  <conditionalFormatting sqref="AS13">
    <cfRule type="cellIs" dxfId="1012" priority="1657" stopIfTrue="1" operator="equal">
      <formula>$A$43</formula>
    </cfRule>
  </conditionalFormatting>
  <conditionalFormatting sqref="AS26:AS27">
    <cfRule type="cellIs" dxfId="1011" priority="1655" stopIfTrue="1" operator="equal">
      <formula>$A$43</formula>
    </cfRule>
  </conditionalFormatting>
  <conditionalFormatting sqref="AS17">
    <cfRule type="cellIs" dxfId="1010" priority="1654" stopIfTrue="1" operator="equal">
      <formula>$A$42</formula>
    </cfRule>
  </conditionalFormatting>
  <conditionalFormatting sqref="AS26:AS27">
    <cfRule type="cellIs" dxfId="1009" priority="1652" stopIfTrue="1" operator="equal">
      <formula>$A$43</formula>
    </cfRule>
  </conditionalFormatting>
  <conditionalFormatting sqref="AS17">
    <cfRule type="cellIs" dxfId="1008" priority="1651" stopIfTrue="1" operator="equal">
      <formula>$A$42</formula>
    </cfRule>
  </conditionalFormatting>
  <conditionalFormatting sqref="AS16">
    <cfRule type="cellIs" dxfId="1007" priority="1650" stopIfTrue="1" operator="equal">
      <formula>$A$42</formula>
    </cfRule>
  </conditionalFormatting>
  <conditionalFormatting sqref="AS13">
    <cfRule type="cellIs" dxfId="1006" priority="1649" stopIfTrue="1" operator="equal">
      <formula>$A$43</formula>
    </cfRule>
  </conditionalFormatting>
  <conditionalFormatting sqref="AS13">
    <cfRule type="cellIs" dxfId="1005" priority="1648" stopIfTrue="1" operator="equal">
      <formula>$A$43</formula>
    </cfRule>
  </conditionalFormatting>
  <conditionalFormatting sqref="AS13">
    <cfRule type="cellIs" dxfId="1004" priority="1647" stopIfTrue="1" operator="equal">
      <formula>$A$43</formula>
    </cfRule>
  </conditionalFormatting>
  <conditionalFormatting sqref="AS13">
    <cfRule type="cellIs" dxfId="1003" priority="1646" stopIfTrue="1" operator="equal">
      <formula>$A$43</formula>
    </cfRule>
  </conditionalFormatting>
  <conditionalFormatting sqref="AS13">
    <cfRule type="cellIs" dxfId="1002" priority="1645" stopIfTrue="1" operator="equal">
      <formula>$A$43</formula>
    </cfRule>
  </conditionalFormatting>
  <conditionalFormatting sqref="AS13">
    <cfRule type="cellIs" dxfId="1001" priority="1644" stopIfTrue="1" operator="equal">
      <formula>$A$43</formula>
    </cfRule>
  </conditionalFormatting>
  <conditionalFormatting sqref="AS26:AS27">
    <cfRule type="cellIs" dxfId="1000" priority="1642" stopIfTrue="1" operator="equal">
      <formula>$A$43</formula>
    </cfRule>
  </conditionalFormatting>
  <conditionalFormatting sqref="AS17">
    <cfRule type="cellIs" dxfId="999" priority="1641" stopIfTrue="1" operator="equal">
      <formula>$A$42</formula>
    </cfRule>
  </conditionalFormatting>
  <conditionalFormatting sqref="AS26:AS27">
    <cfRule type="cellIs" dxfId="998" priority="1639" stopIfTrue="1" operator="equal">
      <formula>$A$43</formula>
    </cfRule>
  </conditionalFormatting>
  <conditionalFormatting sqref="AS17">
    <cfRule type="cellIs" dxfId="997" priority="1638" stopIfTrue="1" operator="equal">
      <formula>$A$42</formula>
    </cfRule>
  </conditionalFormatting>
  <conditionalFormatting sqref="AS16">
    <cfRule type="cellIs" dxfId="996" priority="1637" stopIfTrue="1" operator="equal">
      <formula>$A$42</formula>
    </cfRule>
  </conditionalFormatting>
  <conditionalFormatting sqref="AS13">
    <cfRule type="cellIs" dxfId="995" priority="1636" stopIfTrue="1" operator="equal">
      <formula>$A$43</formula>
    </cfRule>
  </conditionalFormatting>
  <conditionalFormatting sqref="AS13">
    <cfRule type="cellIs" dxfId="994" priority="1635" stopIfTrue="1" operator="equal">
      <formula>$A$43</formula>
    </cfRule>
  </conditionalFormatting>
  <conditionalFormatting sqref="AS13">
    <cfRule type="cellIs" dxfId="993" priority="1634" stopIfTrue="1" operator="equal">
      <formula>$A$43</formula>
    </cfRule>
  </conditionalFormatting>
  <conditionalFormatting sqref="AS13">
    <cfRule type="cellIs" dxfId="992" priority="1633" stopIfTrue="1" operator="equal">
      <formula>$A$43</formula>
    </cfRule>
  </conditionalFormatting>
  <conditionalFormatting sqref="AS13">
    <cfRule type="cellIs" dxfId="991" priority="1632" stopIfTrue="1" operator="equal">
      <formula>$A$43</formula>
    </cfRule>
  </conditionalFormatting>
  <conditionalFormatting sqref="AS13">
    <cfRule type="cellIs" dxfId="990" priority="1631" stopIfTrue="1" operator="equal">
      <formula>$A$43</formula>
    </cfRule>
  </conditionalFormatting>
  <conditionalFormatting sqref="AS26:AS27">
    <cfRule type="cellIs" dxfId="989" priority="1629" stopIfTrue="1" operator="equal">
      <formula>$A$43</formula>
    </cfRule>
  </conditionalFormatting>
  <conditionalFormatting sqref="AS17">
    <cfRule type="cellIs" dxfId="988" priority="1628" stopIfTrue="1" operator="equal">
      <formula>$A$42</formula>
    </cfRule>
  </conditionalFormatting>
  <conditionalFormatting sqref="AS26:AS27">
    <cfRule type="cellIs" dxfId="987" priority="1626" stopIfTrue="1" operator="equal">
      <formula>$A$43</formula>
    </cfRule>
  </conditionalFormatting>
  <conditionalFormatting sqref="AS17">
    <cfRule type="cellIs" dxfId="986" priority="1625" stopIfTrue="1" operator="equal">
      <formula>$A$42</formula>
    </cfRule>
  </conditionalFormatting>
  <conditionalFormatting sqref="AS16">
    <cfRule type="cellIs" dxfId="985" priority="1624" stopIfTrue="1" operator="equal">
      <formula>$A$42</formula>
    </cfRule>
  </conditionalFormatting>
  <conditionalFormatting sqref="AS13">
    <cfRule type="cellIs" dxfId="984" priority="1623" stopIfTrue="1" operator="equal">
      <formula>$A$43</formula>
    </cfRule>
  </conditionalFormatting>
  <conditionalFormatting sqref="AS13">
    <cfRule type="cellIs" dxfId="983" priority="1622" stopIfTrue="1" operator="equal">
      <formula>$A$43</formula>
    </cfRule>
  </conditionalFormatting>
  <conditionalFormatting sqref="AS13">
    <cfRule type="cellIs" dxfId="982" priority="1621" stopIfTrue="1" operator="equal">
      <formula>$A$43</formula>
    </cfRule>
  </conditionalFormatting>
  <conditionalFormatting sqref="AS13">
    <cfRule type="cellIs" dxfId="981" priority="1620" stopIfTrue="1" operator="equal">
      <formula>$A$43</formula>
    </cfRule>
  </conditionalFormatting>
  <conditionalFormatting sqref="AS13">
    <cfRule type="cellIs" dxfId="980" priority="1619" stopIfTrue="1" operator="equal">
      <formula>$A$43</formula>
    </cfRule>
  </conditionalFormatting>
  <conditionalFormatting sqref="AS13">
    <cfRule type="cellIs" dxfId="979" priority="1618" stopIfTrue="1" operator="equal">
      <formula>$A$43</formula>
    </cfRule>
  </conditionalFormatting>
  <conditionalFormatting sqref="AS26:AS27">
    <cfRule type="cellIs" dxfId="978" priority="1616" stopIfTrue="1" operator="equal">
      <formula>$A$43</formula>
    </cfRule>
  </conditionalFormatting>
  <conditionalFormatting sqref="AS17">
    <cfRule type="cellIs" dxfId="977" priority="1615" stopIfTrue="1" operator="equal">
      <formula>$A$42</formula>
    </cfRule>
  </conditionalFormatting>
  <conditionalFormatting sqref="AS26:AS27">
    <cfRule type="cellIs" dxfId="976" priority="1613" stopIfTrue="1" operator="equal">
      <formula>$A$43</formula>
    </cfRule>
  </conditionalFormatting>
  <conditionalFormatting sqref="AS17">
    <cfRule type="cellIs" dxfId="975" priority="1612" stopIfTrue="1" operator="equal">
      <formula>$A$42</formula>
    </cfRule>
  </conditionalFormatting>
  <conditionalFormatting sqref="AS16">
    <cfRule type="cellIs" dxfId="974" priority="1611" stopIfTrue="1" operator="equal">
      <formula>$A$42</formula>
    </cfRule>
  </conditionalFormatting>
  <conditionalFormatting sqref="AS13">
    <cfRule type="cellIs" dxfId="973" priority="1610" stopIfTrue="1" operator="equal">
      <formula>$A$43</formula>
    </cfRule>
  </conditionalFormatting>
  <conditionalFormatting sqref="AS13">
    <cfRule type="cellIs" dxfId="972" priority="1609" stopIfTrue="1" operator="equal">
      <formula>$A$43</formula>
    </cfRule>
  </conditionalFormatting>
  <conditionalFormatting sqref="AS13">
    <cfRule type="cellIs" dxfId="971" priority="1608" stopIfTrue="1" operator="equal">
      <formula>$A$43</formula>
    </cfRule>
  </conditionalFormatting>
  <conditionalFormatting sqref="AS13">
    <cfRule type="cellIs" dxfId="970" priority="1607" stopIfTrue="1" operator="equal">
      <formula>$A$43</formula>
    </cfRule>
  </conditionalFormatting>
  <conditionalFormatting sqref="AS13">
    <cfRule type="cellIs" dxfId="969" priority="1606" stopIfTrue="1" operator="equal">
      <formula>$A$43</formula>
    </cfRule>
  </conditionalFormatting>
  <conditionalFormatting sqref="AS13">
    <cfRule type="cellIs" dxfId="968" priority="1605" stopIfTrue="1" operator="equal">
      <formula>$A$43</formula>
    </cfRule>
  </conditionalFormatting>
  <conditionalFormatting sqref="AU17">
    <cfRule type="cellIs" dxfId="967" priority="1604" stopIfTrue="1" operator="equal">
      <formula>$A$42</formula>
    </cfRule>
  </conditionalFormatting>
  <conditionalFormatting sqref="AU26:AU27">
    <cfRule type="cellIs" dxfId="966" priority="1602" stopIfTrue="1" operator="equal">
      <formula>$A$43</formula>
    </cfRule>
  </conditionalFormatting>
  <conditionalFormatting sqref="AU17">
    <cfRule type="cellIs" dxfId="965" priority="1601" stopIfTrue="1" operator="equal">
      <formula>$A$42</formula>
    </cfRule>
  </conditionalFormatting>
  <conditionalFormatting sqref="AU26:AU27">
    <cfRule type="cellIs" dxfId="964" priority="1599" stopIfTrue="1" operator="equal">
      <formula>$A$43</formula>
    </cfRule>
  </conditionalFormatting>
  <conditionalFormatting sqref="AU17">
    <cfRule type="cellIs" dxfId="963" priority="1598" stopIfTrue="1" operator="equal">
      <formula>$A$42</formula>
    </cfRule>
  </conditionalFormatting>
  <conditionalFormatting sqref="AU16">
    <cfRule type="cellIs" dxfId="962" priority="1597" stopIfTrue="1" operator="equal">
      <formula>$A$42</formula>
    </cfRule>
  </conditionalFormatting>
  <conditionalFormatting sqref="AU14:AU15">
    <cfRule type="cellIs" dxfId="961" priority="1595" stopIfTrue="1" operator="equal">
      <formula>$A$43</formula>
    </cfRule>
  </conditionalFormatting>
  <conditionalFormatting sqref="AU17">
    <cfRule type="cellIs" dxfId="960" priority="1594" stopIfTrue="1" operator="equal">
      <formula>$A$42</formula>
    </cfRule>
  </conditionalFormatting>
  <conditionalFormatting sqref="AU14:AU15">
    <cfRule type="cellIs" dxfId="959" priority="1592" stopIfTrue="1" operator="equal">
      <formula>$A$43</formula>
    </cfRule>
  </conditionalFormatting>
  <conditionalFormatting sqref="AU17">
    <cfRule type="cellIs" dxfId="958" priority="1591" stopIfTrue="1" operator="equal">
      <formula>$A$42</formula>
    </cfRule>
  </conditionalFormatting>
  <conditionalFormatting sqref="AU16">
    <cfRule type="cellIs" dxfId="957" priority="1590" stopIfTrue="1" operator="equal">
      <formula>$A$42</formula>
    </cfRule>
  </conditionalFormatting>
  <conditionalFormatting sqref="AU13">
    <cfRule type="cellIs" dxfId="956" priority="1589" stopIfTrue="1" operator="equal">
      <formula>$A$43</formula>
    </cfRule>
  </conditionalFormatting>
  <conditionalFormatting sqref="AU13">
    <cfRule type="cellIs" dxfId="955" priority="1588" stopIfTrue="1" operator="equal">
      <formula>$A$43</formula>
    </cfRule>
  </conditionalFormatting>
  <conditionalFormatting sqref="AU13">
    <cfRule type="cellIs" dxfId="954" priority="1587" stopIfTrue="1" operator="equal">
      <formula>$A$43</formula>
    </cfRule>
  </conditionalFormatting>
  <conditionalFormatting sqref="AU13">
    <cfRule type="cellIs" dxfId="953" priority="1586" stopIfTrue="1" operator="equal">
      <formula>$A$43</formula>
    </cfRule>
  </conditionalFormatting>
  <conditionalFormatting sqref="AU13">
    <cfRule type="cellIs" dxfId="952" priority="1585" stopIfTrue="1" operator="equal">
      <formula>$A$43</formula>
    </cfRule>
  </conditionalFormatting>
  <conditionalFormatting sqref="AU13">
    <cfRule type="cellIs" dxfId="951" priority="1584" stopIfTrue="1" operator="equal">
      <formula>$A$43</formula>
    </cfRule>
  </conditionalFormatting>
  <conditionalFormatting sqref="AU26:AU27">
    <cfRule type="cellIs" dxfId="950" priority="1582" stopIfTrue="1" operator="equal">
      <formula>$A$43</formula>
    </cfRule>
  </conditionalFormatting>
  <conditionalFormatting sqref="AU17">
    <cfRule type="cellIs" dxfId="949" priority="1581" stopIfTrue="1" operator="equal">
      <formula>$A$42</formula>
    </cfRule>
  </conditionalFormatting>
  <conditionalFormatting sqref="AU26:AU27">
    <cfRule type="cellIs" dxfId="948" priority="1579" stopIfTrue="1" operator="equal">
      <formula>$A$43</formula>
    </cfRule>
  </conditionalFormatting>
  <conditionalFormatting sqref="AU17">
    <cfRule type="cellIs" dxfId="947" priority="1578" stopIfTrue="1" operator="equal">
      <formula>$A$42</formula>
    </cfRule>
  </conditionalFormatting>
  <conditionalFormatting sqref="AU16">
    <cfRule type="cellIs" dxfId="946" priority="1577" stopIfTrue="1" operator="equal">
      <formula>$A$42</formula>
    </cfRule>
  </conditionalFormatting>
  <conditionalFormatting sqref="AU13">
    <cfRule type="cellIs" dxfId="945" priority="1576" stopIfTrue="1" operator="equal">
      <formula>$A$43</formula>
    </cfRule>
  </conditionalFormatting>
  <conditionalFormatting sqref="AU13">
    <cfRule type="cellIs" dxfId="944" priority="1575" stopIfTrue="1" operator="equal">
      <formula>$A$43</formula>
    </cfRule>
  </conditionalFormatting>
  <conditionalFormatting sqref="AU13">
    <cfRule type="cellIs" dxfId="943" priority="1574" stopIfTrue="1" operator="equal">
      <formula>$A$43</formula>
    </cfRule>
  </conditionalFormatting>
  <conditionalFormatting sqref="AU13">
    <cfRule type="cellIs" dxfId="942" priority="1573" stopIfTrue="1" operator="equal">
      <formula>$A$43</formula>
    </cfRule>
  </conditionalFormatting>
  <conditionalFormatting sqref="AU13">
    <cfRule type="cellIs" dxfId="941" priority="1572" stopIfTrue="1" operator="equal">
      <formula>$A$43</formula>
    </cfRule>
  </conditionalFormatting>
  <conditionalFormatting sqref="AU13">
    <cfRule type="cellIs" dxfId="940" priority="1571" stopIfTrue="1" operator="equal">
      <formula>$A$43</formula>
    </cfRule>
  </conditionalFormatting>
  <conditionalFormatting sqref="AU26:AU27">
    <cfRule type="cellIs" dxfId="939" priority="1569" stopIfTrue="1" operator="equal">
      <formula>$A$43</formula>
    </cfRule>
  </conditionalFormatting>
  <conditionalFormatting sqref="AU17">
    <cfRule type="cellIs" dxfId="938" priority="1568" stopIfTrue="1" operator="equal">
      <formula>$A$42</formula>
    </cfRule>
  </conditionalFormatting>
  <conditionalFormatting sqref="AU26:AU27">
    <cfRule type="cellIs" dxfId="937" priority="1566" stopIfTrue="1" operator="equal">
      <formula>$A$43</formula>
    </cfRule>
  </conditionalFormatting>
  <conditionalFormatting sqref="AU17">
    <cfRule type="cellIs" dxfId="936" priority="1565" stopIfTrue="1" operator="equal">
      <formula>$A$42</formula>
    </cfRule>
  </conditionalFormatting>
  <conditionalFormatting sqref="AU16">
    <cfRule type="cellIs" dxfId="935" priority="1564" stopIfTrue="1" operator="equal">
      <formula>$A$42</formula>
    </cfRule>
  </conditionalFormatting>
  <conditionalFormatting sqref="AU13">
    <cfRule type="cellIs" dxfId="934" priority="1563" stopIfTrue="1" operator="equal">
      <formula>$A$43</formula>
    </cfRule>
  </conditionalFormatting>
  <conditionalFormatting sqref="AU13">
    <cfRule type="cellIs" dxfId="933" priority="1562" stopIfTrue="1" operator="equal">
      <formula>$A$43</formula>
    </cfRule>
  </conditionalFormatting>
  <conditionalFormatting sqref="AU13">
    <cfRule type="cellIs" dxfId="932" priority="1561" stopIfTrue="1" operator="equal">
      <formula>$A$43</formula>
    </cfRule>
  </conditionalFormatting>
  <conditionalFormatting sqref="AU13">
    <cfRule type="cellIs" dxfId="931" priority="1560" stopIfTrue="1" operator="equal">
      <formula>$A$43</formula>
    </cfRule>
  </conditionalFormatting>
  <conditionalFormatting sqref="AU13">
    <cfRule type="cellIs" dxfId="930" priority="1559" stopIfTrue="1" operator="equal">
      <formula>$A$43</formula>
    </cfRule>
  </conditionalFormatting>
  <conditionalFormatting sqref="AU13">
    <cfRule type="cellIs" dxfId="929" priority="1558" stopIfTrue="1" operator="equal">
      <formula>$A$43</formula>
    </cfRule>
  </conditionalFormatting>
  <conditionalFormatting sqref="AU26:AU27">
    <cfRule type="cellIs" dxfId="928" priority="1556" stopIfTrue="1" operator="equal">
      <formula>$A$43</formula>
    </cfRule>
  </conditionalFormatting>
  <conditionalFormatting sqref="AU17">
    <cfRule type="cellIs" dxfId="927" priority="1555" stopIfTrue="1" operator="equal">
      <formula>$A$42</formula>
    </cfRule>
  </conditionalFormatting>
  <conditionalFormatting sqref="AU26:AU27">
    <cfRule type="cellIs" dxfId="926" priority="1553" stopIfTrue="1" operator="equal">
      <formula>$A$43</formula>
    </cfRule>
  </conditionalFormatting>
  <conditionalFormatting sqref="AU17">
    <cfRule type="cellIs" dxfId="925" priority="1552" stopIfTrue="1" operator="equal">
      <formula>$A$42</formula>
    </cfRule>
  </conditionalFormatting>
  <conditionalFormatting sqref="AU16">
    <cfRule type="cellIs" dxfId="924" priority="1551" stopIfTrue="1" operator="equal">
      <formula>$A$42</formula>
    </cfRule>
  </conditionalFormatting>
  <conditionalFormatting sqref="AU13">
    <cfRule type="cellIs" dxfId="923" priority="1550" stopIfTrue="1" operator="equal">
      <formula>$A$43</formula>
    </cfRule>
  </conditionalFormatting>
  <conditionalFormatting sqref="AU13">
    <cfRule type="cellIs" dxfId="922" priority="1549" stopIfTrue="1" operator="equal">
      <formula>$A$43</formula>
    </cfRule>
  </conditionalFormatting>
  <conditionalFormatting sqref="AU13">
    <cfRule type="cellIs" dxfId="921" priority="1548" stopIfTrue="1" operator="equal">
      <formula>$A$43</formula>
    </cfRule>
  </conditionalFormatting>
  <conditionalFormatting sqref="AU13">
    <cfRule type="cellIs" dxfId="920" priority="1547" stopIfTrue="1" operator="equal">
      <formula>$A$43</formula>
    </cfRule>
  </conditionalFormatting>
  <conditionalFormatting sqref="AU13">
    <cfRule type="cellIs" dxfId="919" priority="1546" stopIfTrue="1" operator="equal">
      <formula>$A$43</formula>
    </cfRule>
  </conditionalFormatting>
  <conditionalFormatting sqref="AU13">
    <cfRule type="cellIs" dxfId="918" priority="1545" stopIfTrue="1" operator="equal">
      <formula>$A$43</formula>
    </cfRule>
  </conditionalFormatting>
  <conditionalFormatting sqref="AU26:AU27">
    <cfRule type="cellIs" dxfId="917" priority="1543" stopIfTrue="1" operator="equal">
      <formula>$A$43</formula>
    </cfRule>
  </conditionalFormatting>
  <conditionalFormatting sqref="AU17">
    <cfRule type="cellIs" dxfId="916" priority="1542" stopIfTrue="1" operator="equal">
      <formula>$A$42</formula>
    </cfRule>
  </conditionalFormatting>
  <conditionalFormatting sqref="AU26:AU27">
    <cfRule type="cellIs" dxfId="915" priority="1540" stopIfTrue="1" operator="equal">
      <formula>$A$43</formula>
    </cfRule>
  </conditionalFormatting>
  <conditionalFormatting sqref="AU17">
    <cfRule type="cellIs" dxfId="914" priority="1539" stopIfTrue="1" operator="equal">
      <formula>$A$42</formula>
    </cfRule>
  </conditionalFormatting>
  <conditionalFormatting sqref="AU16">
    <cfRule type="cellIs" dxfId="913" priority="1538" stopIfTrue="1" operator="equal">
      <formula>$A$42</formula>
    </cfRule>
  </conditionalFormatting>
  <conditionalFormatting sqref="AU13">
    <cfRule type="cellIs" dxfId="912" priority="1537" stopIfTrue="1" operator="equal">
      <formula>$A$43</formula>
    </cfRule>
  </conditionalFormatting>
  <conditionalFormatting sqref="AU13">
    <cfRule type="cellIs" dxfId="911" priority="1536" stopIfTrue="1" operator="equal">
      <formula>$A$43</formula>
    </cfRule>
  </conditionalFormatting>
  <conditionalFormatting sqref="AU13">
    <cfRule type="cellIs" dxfId="910" priority="1535" stopIfTrue="1" operator="equal">
      <formula>$A$43</formula>
    </cfRule>
  </conditionalFormatting>
  <conditionalFormatting sqref="AU13">
    <cfRule type="cellIs" dxfId="909" priority="1534" stopIfTrue="1" operator="equal">
      <formula>$A$43</formula>
    </cfRule>
  </conditionalFormatting>
  <conditionalFormatting sqref="AU13">
    <cfRule type="cellIs" dxfId="908" priority="1533" stopIfTrue="1" operator="equal">
      <formula>$A$43</formula>
    </cfRule>
  </conditionalFormatting>
  <conditionalFormatting sqref="AU13">
    <cfRule type="cellIs" dxfId="907" priority="1532" stopIfTrue="1" operator="equal">
      <formula>$A$43</formula>
    </cfRule>
  </conditionalFormatting>
  <conditionalFormatting sqref="AU26:AU27">
    <cfRule type="cellIs" dxfId="906" priority="1530" stopIfTrue="1" operator="equal">
      <formula>$A$43</formula>
    </cfRule>
  </conditionalFormatting>
  <conditionalFormatting sqref="AU17">
    <cfRule type="cellIs" dxfId="905" priority="1529" stopIfTrue="1" operator="equal">
      <formula>$A$42</formula>
    </cfRule>
  </conditionalFormatting>
  <conditionalFormatting sqref="AU26:AU27">
    <cfRule type="cellIs" dxfId="904" priority="1527" stopIfTrue="1" operator="equal">
      <formula>$A$43</formula>
    </cfRule>
  </conditionalFormatting>
  <conditionalFormatting sqref="AU17">
    <cfRule type="cellIs" dxfId="903" priority="1526" stopIfTrue="1" operator="equal">
      <formula>$A$42</formula>
    </cfRule>
  </conditionalFormatting>
  <conditionalFormatting sqref="AU16">
    <cfRule type="cellIs" dxfId="902" priority="1525" stopIfTrue="1" operator="equal">
      <formula>$A$42</formula>
    </cfRule>
  </conditionalFormatting>
  <conditionalFormatting sqref="AU13">
    <cfRule type="cellIs" dxfId="901" priority="1524" stopIfTrue="1" operator="equal">
      <formula>$A$43</formula>
    </cfRule>
  </conditionalFormatting>
  <conditionalFormatting sqref="AU13">
    <cfRule type="cellIs" dxfId="900" priority="1523" stopIfTrue="1" operator="equal">
      <formula>$A$43</formula>
    </cfRule>
  </conditionalFormatting>
  <conditionalFormatting sqref="AU13">
    <cfRule type="cellIs" dxfId="899" priority="1522" stopIfTrue="1" operator="equal">
      <formula>$A$43</formula>
    </cfRule>
  </conditionalFormatting>
  <conditionalFormatting sqref="AU13">
    <cfRule type="cellIs" dxfId="898" priority="1521" stopIfTrue="1" operator="equal">
      <formula>$A$43</formula>
    </cfRule>
  </conditionalFormatting>
  <conditionalFormatting sqref="AU13">
    <cfRule type="cellIs" dxfId="897" priority="1520" stopIfTrue="1" operator="equal">
      <formula>$A$43</formula>
    </cfRule>
  </conditionalFormatting>
  <conditionalFormatting sqref="AU13">
    <cfRule type="cellIs" dxfId="896" priority="1519" stopIfTrue="1" operator="equal">
      <formula>$A$43</formula>
    </cfRule>
  </conditionalFormatting>
  <conditionalFormatting sqref="AW11">
    <cfRule type="cellIs" dxfId="895" priority="1518" stopIfTrue="1" operator="equal">
      <formula>$A$42</formula>
    </cfRule>
  </conditionalFormatting>
  <conditionalFormatting sqref="AW11">
    <cfRule type="cellIs" dxfId="894" priority="1516" stopIfTrue="1" operator="equal">
      <formula>$A$42</formula>
    </cfRule>
  </conditionalFormatting>
  <conditionalFormatting sqref="AW11">
    <cfRule type="cellIs" dxfId="893" priority="1514" stopIfTrue="1" operator="equal">
      <formula>$A$42</formula>
    </cfRule>
  </conditionalFormatting>
  <conditionalFormatting sqref="AW11">
    <cfRule type="cellIs" dxfId="892" priority="1512" stopIfTrue="1" operator="equal">
      <formula>$A$42</formula>
    </cfRule>
  </conditionalFormatting>
  <conditionalFormatting sqref="AW11">
    <cfRule type="cellIs" dxfId="891" priority="1510" stopIfTrue="1" operator="equal">
      <formula>$A$42</formula>
    </cfRule>
  </conditionalFormatting>
  <conditionalFormatting sqref="AW11">
    <cfRule type="cellIs" dxfId="890" priority="1508" stopIfTrue="1" operator="equal">
      <formula>$A$42</formula>
    </cfRule>
  </conditionalFormatting>
  <conditionalFormatting sqref="AW11">
    <cfRule type="cellIs" dxfId="889" priority="1506" stopIfTrue="1" operator="equal">
      <formula>$A$42</formula>
    </cfRule>
  </conditionalFormatting>
  <conditionalFormatting sqref="AW11">
    <cfRule type="cellIs" dxfId="888" priority="1504" stopIfTrue="1" operator="equal">
      <formula>$A$42</formula>
    </cfRule>
  </conditionalFormatting>
  <conditionalFormatting sqref="AW11">
    <cfRule type="cellIs" dxfId="887" priority="1502" stopIfTrue="1" operator="equal">
      <formula>$A$42</formula>
    </cfRule>
  </conditionalFormatting>
  <conditionalFormatting sqref="AW11">
    <cfRule type="cellIs" dxfId="886" priority="1500" stopIfTrue="1" operator="equal">
      <formula>$A$42</formula>
    </cfRule>
  </conditionalFormatting>
  <conditionalFormatting sqref="AW11">
    <cfRule type="cellIs" dxfId="885" priority="1498" stopIfTrue="1" operator="equal">
      <formula>$A$42</formula>
    </cfRule>
  </conditionalFormatting>
  <conditionalFormatting sqref="AW11">
    <cfRule type="cellIs" dxfId="884" priority="1496" stopIfTrue="1" operator="equal">
      <formula>$A$42</formula>
    </cfRule>
  </conditionalFormatting>
  <conditionalFormatting sqref="AW11">
    <cfRule type="cellIs" dxfId="883" priority="1494" stopIfTrue="1" operator="equal">
      <formula>$A$42</formula>
    </cfRule>
  </conditionalFormatting>
  <conditionalFormatting sqref="AW11">
    <cfRule type="cellIs" dxfId="882" priority="1492" stopIfTrue="1" operator="equal">
      <formula>$A$42</formula>
    </cfRule>
  </conditionalFormatting>
  <conditionalFormatting sqref="AW11">
    <cfRule type="cellIs" dxfId="881" priority="1490" stopIfTrue="1" operator="equal">
      <formula>$A$42</formula>
    </cfRule>
  </conditionalFormatting>
  <conditionalFormatting sqref="AW13">
    <cfRule type="cellIs" dxfId="880" priority="1489" stopIfTrue="1" operator="equal">
      <formula>$A$43</formula>
    </cfRule>
  </conditionalFormatting>
  <conditionalFormatting sqref="AW13">
    <cfRule type="cellIs" dxfId="879" priority="1488" stopIfTrue="1" operator="equal">
      <formula>$A$43</formula>
    </cfRule>
  </conditionalFormatting>
  <conditionalFormatting sqref="AW13">
    <cfRule type="cellIs" dxfId="878" priority="1487" stopIfTrue="1" operator="equal">
      <formula>$A$43</formula>
    </cfRule>
  </conditionalFormatting>
  <conditionalFormatting sqref="AW13">
    <cfRule type="cellIs" dxfId="877" priority="1486" stopIfTrue="1" operator="equal">
      <formula>$A$43</formula>
    </cfRule>
  </conditionalFormatting>
  <conditionalFormatting sqref="AW13">
    <cfRule type="cellIs" dxfId="876" priority="1485" stopIfTrue="1" operator="equal">
      <formula>$A$43</formula>
    </cfRule>
  </conditionalFormatting>
  <conditionalFormatting sqref="AW13">
    <cfRule type="cellIs" dxfId="875" priority="1484" stopIfTrue="1" operator="equal">
      <formula>$A$43</formula>
    </cfRule>
  </conditionalFormatting>
  <conditionalFormatting sqref="AW13">
    <cfRule type="cellIs" dxfId="874" priority="1483" stopIfTrue="1" operator="equal">
      <formula>$A$43</formula>
    </cfRule>
  </conditionalFormatting>
  <conditionalFormatting sqref="AW13">
    <cfRule type="cellIs" dxfId="873" priority="1482" stopIfTrue="1" operator="equal">
      <formula>$A$43</formula>
    </cfRule>
  </conditionalFormatting>
  <conditionalFormatting sqref="AW13">
    <cfRule type="cellIs" dxfId="872" priority="1481" stopIfTrue="1" operator="equal">
      <formula>$A$43</formula>
    </cfRule>
  </conditionalFormatting>
  <conditionalFormatting sqref="AW13">
    <cfRule type="cellIs" dxfId="871" priority="1480" stopIfTrue="1" operator="equal">
      <formula>$A$43</formula>
    </cfRule>
  </conditionalFormatting>
  <conditionalFormatting sqref="AW13">
    <cfRule type="cellIs" dxfId="870" priority="1479" stopIfTrue="1" operator="equal">
      <formula>$A$43</formula>
    </cfRule>
  </conditionalFormatting>
  <conditionalFormatting sqref="AW13">
    <cfRule type="cellIs" dxfId="869" priority="1478" stopIfTrue="1" operator="equal">
      <formula>$A$43</formula>
    </cfRule>
  </conditionalFormatting>
  <conditionalFormatting sqref="AW13">
    <cfRule type="cellIs" dxfId="868" priority="1477" stopIfTrue="1" operator="equal">
      <formula>$A$43</formula>
    </cfRule>
  </conditionalFormatting>
  <conditionalFormatting sqref="AW13">
    <cfRule type="cellIs" dxfId="867" priority="1476" stopIfTrue="1" operator="equal">
      <formula>$A$43</formula>
    </cfRule>
  </conditionalFormatting>
  <conditionalFormatting sqref="AW13">
    <cfRule type="cellIs" dxfId="866" priority="1475" stopIfTrue="1" operator="equal">
      <formula>$A$43</formula>
    </cfRule>
  </conditionalFormatting>
  <conditionalFormatting sqref="AW13">
    <cfRule type="cellIs" dxfId="865" priority="1474" stopIfTrue="1" operator="equal">
      <formula>$A$43</formula>
    </cfRule>
  </conditionalFormatting>
  <conditionalFormatting sqref="AW13">
    <cfRule type="cellIs" dxfId="864" priority="1473" stopIfTrue="1" operator="equal">
      <formula>$A$43</formula>
    </cfRule>
  </conditionalFormatting>
  <conditionalFormatting sqref="AW13">
    <cfRule type="cellIs" dxfId="863" priority="1472" stopIfTrue="1" operator="equal">
      <formula>$A$43</formula>
    </cfRule>
  </conditionalFormatting>
  <conditionalFormatting sqref="AW13">
    <cfRule type="cellIs" dxfId="862" priority="1471" stopIfTrue="1" operator="equal">
      <formula>$A$43</formula>
    </cfRule>
  </conditionalFormatting>
  <conditionalFormatting sqref="AW13">
    <cfRule type="cellIs" dxfId="861" priority="1470" stopIfTrue="1" operator="equal">
      <formula>$A$43</formula>
    </cfRule>
  </conditionalFormatting>
  <conditionalFormatting sqref="AW13">
    <cfRule type="cellIs" dxfId="860" priority="1469" stopIfTrue="1" operator="equal">
      <formula>$A$43</formula>
    </cfRule>
  </conditionalFormatting>
  <conditionalFormatting sqref="AW13">
    <cfRule type="cellIs" dxfId="859" priority="1468" stopIfTrue="1" operator="equal">
      <formula>$A$43</formula>
    </cfRule>
  </conditionalFormatting>
  <conditionalFormatting sqref="AW13">
    <cfRule type="cellIs" dxfId="858" priority="1467" stopIfTrue="1" operator="equal">
      <formula>$A$43</formula>
    </cfRule>
  </conditionalFormatting>
  <conditionalFormatting sqref="AW13">
    <cfRule type="cellIs" dxfId="857" priority="1466" stopIfTrue="1" operator="equal">
      <formula>$A$43</formula>
    </cfRule>
  </conditionalFormatting>
  <conditionalFormatting sqref="AW13">
    <cfRule type="cellIs" dxfId="856" priority="1465" stopIfTrue="1" operator="equal">
      <formula>$A$43</formula>
    </cfRule>
  </conditionalFormatting>
  <conditionalFormatting sqref="AW13">
    <cfRule type="cellIs" dxfId="855" priority="1464" stopIfTrue="1" operator="equal">
      <formula>$A$43</formula>
    </cfRule>
  </conditionalFormatting>
  <conditionalFormatting sqref="AW13">
    <cfRule type="cellIs" dxfId="854" priority="1463" stopIfTrue="1" operator="equal">
      <formula>$A$43</formula>
    </cfRule>
  </conditionalFormatting>
  <conditionalFormatting sqref="AW13">
    <cfRule type="cellIs" dxfId="853" priority="1462" stopIfTrue="1" operator="equal">
      <formula>$A$43</formula>
    </cfRule>
  </conditionalFormatting>
  <conditionalFormatting sqref="AW13">
    <cfRule type="cellIs" dxfId="852" priority="1461" stopIfTrue="1" operator="equal">
      <formula>$A$43</formula>
    </cfRule>
  </conditionalFormatting>
  <conditionalFormatting sqref="AW13">
    <cfRule type="cellIs" dxfId="851" priority="1460" stopIfTrue="1" operator="equal">
      <formula>$A$43</formula>
    </cfRule>
  </conditionalFormatting>
  <conditionalFormatting sqref="AW13">
    <cfRule type="cellIs" dxfId="850" priority="1459" stopIfTrue="1" operator="equal">
      <formula>$A$43</formula>
    </cfRule>
  </conditionalFormatting>
  <conditionalFormatting sqref="AW13">
    <cfRule type="cellIs" dxfId="849" priority="1458" stopIfTrue="1" operator="equal">
      <formula>$A$43</formula>
    </cfRule>
  </conditionalFormatting>
  <conditionalFormatting sqref="AW13">
    <cfRule type="cellIs" dxfId="848" priority="1457" stopIfTrue="1" operator="equal">
      <formula>$A$43</formula>
    </cfRule>
  </conditionalFormatting>
  <conditionalFormatting sqref="AW13">
    <cfRule type="cellIs" dxfId="847" priority="1456" stopIfTrue="1" operator="equal">
      <formula>$A$43</formula>
    </cfRule>
  </conditionalFormatting>
  <conditionalFormatting sqref="AW13">
    <cfRule type="cellIs" dxfId="846" priority="1455" stopIfTrue="1" operator="equal">
      <formula>$A$43</formula>
    </cfRule>
  </conditionalFormatting>
  <conditionalFormatting sqref="AW13">
    <cfRule type="cellIs" dxfId="845" priority="1454" stopIfTrue="1" operator="equal">
      <formula>$A$43</formula>
    </cfRule>
  </conditionalFormatting>
  <conditionalFormatting sqref="AW13">
    <cfRule type="cellIs" dxfId="844" priority="1453" stopIfTrue="1" operator="equal">
      <formula>$A$43</formula>
    </cfRule>
  </conditionalFormatting>
  <conditionalFormatting sqref="AW13">
    <cfRule type="cellIs" dxfId="843" priority="1452" stopIfTrue="1" operator="equal">
      <formula>$A$43</formula>
    </cfRule>
  </conditionalFormatting>
  <conditionalFormatting sqref="AW13">
    <cfRule type="cellIs" dxfId="842" priority="1451" stopIfTrue="1" operator="equal">
      <formula>$A$43</formula>
    </cfRule>
  </conditionalFormatting>
  <conditionalFormatting sqref="AW13">
    <cfRule type="cellIs" dxfId="841" priority="1450" stopIfTrue="1" operator="equal">
      <formula>$A$43</formula>
    </cfRule>
  </conditionalFormatting>
  <conditionalFormatting sqref="AW13">
    <cfRule type="cellIs" dxfId="840" priority="1449" stopIfTrue="1" operator="equal">
      <formula>$A$43</formula>
    </cfRule>
  </conditionalFormatting>
  <conditionalFormatting sqref="AW13">
    <cfRule type="cellIs" dxfId="839" priority="1448" stopIfTrue="1" operator="equal">
      <formula>$A$43</formula>
    </cfRule>
  </conditionalFormatting>
  <conditionalFormatting sqref="AW13">
    <cfRule type="cellIs" dxfId="838" priority="1447" stopIfTrue="1" operator="equal">
      <formula>$A$43</formula>
    </cfRule>
  </conditionalFormatting>
  <conditionalFormatting sqref="AW13">
    <cfRule type="cellIs" dxfId="837" priority="1446" stopIfTrue="1" operator="equal">
      <formula>$A$43</formula>
    </cfRule>
  </conditionalFormatting>
  <conditionalFormatting sqref="AW13">
    <cfRule type="cellIs" dxfId="836" priority="1445" stopIfTrue="1" operator="equal">
      <formula>$A$43</formula>
    </cfRule>
  </conditionalFormatting>
  <conditionalFormatting sqref="AW13">
    <cfRule type="cellIs" dxfId="835" priority="1444" stopIfTrue="1" operator="equal">
      <formula>$A$43</formula>
    </cfRule>
  </conditionalFormatting>
  <conditionalFormatting sqref="AW13">
    <cfRule type="cellIs" dxfId="834" priority="1443" stopIfTrue="1" operator="equal">
      <formula>$A$43</formula>
    </cfRule>
  </conditionalFormatting>
  <conditionalFormatting sqref="AW13">
    <cfRule type="cellIs" dxfId="833" priority="1442" stopIfTrue="1" operator="equal">
      <formula>$A$43</formula>
    </cfRule>
  </conditionalFormatting>
  <conditionalFormatting sqref="AW13">
    <cfRule type="cellIs" dxfId="832" priority="1441" stopIfTrue="1" operator="equal">
      <formula>$A$43</formula>
    </cfRule>
  </conditionalFormatting>
  <conditionalFormatting sqref="AW13">
    <cfRule type="cellIs" dxfId="831" priority="1440" stopIfTrue="1" operator="equal">
      <formula>$A$43</formula>
    </cfRule>
  </conditionalFormatting>
  <conditionalFormatting sqref="AU16">
    <cfRule type="cellIs" dxfId="830" priority="1383" stopIfTrue="1" operator="equal">
      <formula>$A$43</formula>
    </cfRule>
  </conditionalFormatting>
  <conditionalFormatting sqref="AU16">
    <cfRule type="cellIs" dxfId="829" priority="1382" stopIfTrue="1" operator="equal">
      <formula>$A$43</formula>
    </cfRule>
  </conditionalFormatting>
  <conditionalFormatting sqref="AU16">
    <cfRule type="cellIs" dxfId="828" priority="1381" stopIfTrue="1" operator="equal">
      <formula>$A$42</formula>
    </cfRule>
  </conditionalFormatting>
  <conditionalFormatting sqref="AU16">
    <cfRule type="cellIs" dxfId="827" priority="1380" stopIfTrue="1" operator="equal">
      <formula>$A$43</formula>
    </cfRule>
  </conditionalFormatting>
  <conditionalFormatting sqref="AU16">
    <cfRule type="cellIs" dxfId="826" priority="1379" stopIfTrue="1" operator="equal">
      <formula>$A$43</formula>
    </cfRule>
  </conditionalFormatting>
  <conditionalFormatting sqref="AU16">
    <cfRule type="cellIs" dxfId="825" priority="1378" stopIfTrue="1" operator="equal">
      <formula>$A$42</formula>
    </cfRule>
  </conditionalFormatting>
  <conditionalFormatting sqref="AU16">
    <cfRule type="cellIs" dxfId="824" priority="1377" stopIfTrue="1" operator="equal">
      <formula>$A$43</formula>
    </cfRule>
  </conditionalFormatting>
  <conditionalFormatting sqref="AU16">
    <cfRule type="cellIs" dxfId="823" priority="1376" stopIfTrue="1" operator="equal">
      <formula>$A$43</formula>
    </cfRule>
  </conditionalFormatting>
  <conditionalFormatting sqref="AU16">
    <cfRule type="cellIs" dxfId="822" priority="1375" stopIfTrue="1" operator="equal">
      <formula>$A$42</formula>
    </cfRule>
  </conditionalFormatting>
  <conditionalFormatting sqref="AU16">
    <cfRule type="cellIs" dxfId="821" priority="1374" stopIfTrue="1" operator="equal">
      <formula>$A$43</formula>
    </cfRule>
  </conditionalFormatting>
  <conditionalFormatting sqref="AU16">
    <cfRule type="cellIs" dxfId="820" priority="1373" stopIfTrue="1" operator="equal">
      <formula>$A$43</formula>
    </cfRule>
  </conditionalFormatting>
  <conditionalFormatting sqref="AU16">
    <cfRule type="cellIs" dxfId="819" priority="1372" stopIfTrue="1" operator="equal">
      <formula>$A$42</formula>
    </cfRule>
  </conditionalFormatting>
  <conditionalFormatting sqref="AU16">
    <cfRule type="cellIs" dxfId="818" priority="1371" stopIfTrue="1" operator="equal">
      <formula>$A$43</formula>
    </cfRule>
  </conditionalFormatting>
  <conditionalFormatting sqref="AU16">
    <cfRule type="cellIs" dxfId="817" priority="1370" stopIfTrue="1" operator="equal">
      <formula>$A$43</formula>
    </cfRule>
  </conditionalFormatting>
  <conditionalFormatting sqref="AU16">
    <cfRule type="cellIs" dxfId="816" priority="1369" stopIfTrue="1" operator="equal">
      <formula>$A$42</formula>
    </cfRule>
  </conditionalFormatting>
  <conditionalFormatting sqref="AU16">
    <cfRule type="cellIs" dxfId="815" priority="1368" stopIfTrue="1" operator="equal">
      <formula>$A$43</formula>
    </cfRule>
  </conditionalFormatting>
  <conditionalFormatting sqref="AU16">
    <cfRule type="cellIs" dxfId="814" priority="1367" stopIfTrue="1" operator="equal">
      <formula>$A$43</formula>
    </cfRule>
  </conditionalFormatting>
  <conditionalFormatting sqref="AU16">
    <cfRule type="cellIs" dxfId="813" priority="1366" stopIfTrue="1" operator="equal">
      <formula>$A$42</formula>
    </cfRule>
  </conditionalFormatting>
  <conditionalFormatting sqref="AU16">
    <cfRule type="cellIs" dxfId="812" priority="1365" stopIfTrue="1" operator="equal">
      <formula>$A$43</formula>
    </cfRule>
  </conditionalFormatting>
  <conditionalFormatting sqref="AU16">
    <cfRule type="cellIs" dxfId="811" priority="1364" stopIfTrue="1" operator="equal">
      <formula>$A$43</formula>
    </cfRule>
  </conditionalFormatting>
  <conditionalFormatting sqref="AU16">
    <cfRule type="cellIs" dxfId="810" priority="1363" stopIfTrue="1" operator="equal">
      <formula>$A$42</formula>
    </cfRule>
  </conditionalFormatting>
  <conditionalFormatting sqref="AW16">
    <cfRule type="cellIs" dxfId="809" priority="1362" stopIfTrue="1" operator="equal">
      <formula>$A$43</formula>
    </cfRule>
  </conditionalFormatting>
  <conditionalFormatting sqref="AW16">
    <cfRule type="cellIs" dxfId="808" priority="1361" stopIfTrue="1" operator="equal">
      <formula>$A$43</formula>
    </cfRule>
  </conditionalFormatting>
  <conditionalFormatting sqref="AW16">
    <cfRule type="cellIs" dxfId="807" priority="1360" stopIfTrue="1" operator="equal">
      <formula>$A$42</formula>
    </cfRule>
  </conditionalFormatting>
  <conditionalFormatting sqref="AW16">
    <cfRule type="cellIs" dxfId="806" priority="1359" stopIfTrue="1" operator="equal">
      <formula>$A$43</formula>
    </cfRule>
  </conditionalFormatting>
  <conditionalFormatting sqref="AW16">
    <cfRule type="cellIs" dxfId="805" priority="1358" stopIfTrue="1" operator="equal">
      <formula>$A$43</formula>
    </cfRule>
  </conditionalFormatting>
  <conditionalFormatting sqref="AW16">
    <cfRule type="cellIs" dxfId="804" priority="1357" stopIfTrue="1" operator="equal">
      <formula>$A$42</formula>
    </cfRule>
  </conditionalFormatting>
  <conditionalFormatting sqref="AW16">
    <cfRule type="cellIs" dxfId="803" priority="1356" stopIfTrue="1" operator="equal">
      <formula>$A$43</formula>
    </cfRule>
  </conditionalFormatting>
  <conditionalFormatting sqref="AW16">
    <cfRule type="cellIs" dxfId="802" priority="1355" stopIfTrue="1" operator="equal">
      <formula>$A$43</formula>
    </cfRule>
  </conditionalFormatting>
  <conditionalFormatting sqref="AW16">
    <cfRule type="cellIs" dxfId="801" priority="1354" stopIfTrue="1" operator="equal">
      <formula>$A$42</formula>
    </cfRule>
  </conditionalFormatting>
  <conditionalFormatting sqref="AW16">
    <cfRule type="cellIs" dxfId="800" priority="1353" stopIfTrue="1" operator="equal">
      <formula>$A$43</formula>
    </cfRule>
  </conditionalFormatting>
  <conditionalFormatting sqref="AW16">
    <cfRule type="cellIs" dxfId="799" priority="1352" stopIfTrue="1" operator="equal">
      <formula>$A$43</formula>
    </cfRule>
  </conditionalFormatting>
  <conditionalFormatting sqref="AW16">
    <cfRule type="cellIs" dxfId="798" priority="1351" stopIfTrue="1" operator="equal">
      <formula>$A$42</formula>
    </cfRule>
  </conditionalFormatting>
  <conditionalFormatting sqref="AW16">
    <cfRule type="cellIs" dxfId="797" priority="1350" stopIfTrue="1" operator="equal">
      <formula>$A$43</formula>
    </cfRule>
  </conditionalFormatting>
  <conditionalFormatting sqref="AW16">
    <cfRule type="cellIs" dxfId="796" priority="1349" stopIfTrue="1" operator="equal">
      <formula>$A$43</formula>
    </cfRule>
  </conditionalFormatting>
  <conditionalFormatting sqref="AW16">
    <cfRule type="cellIs" dxfId="795" priority="1348" stopIfTrue="1" operator="equal">
      <formula>$A$42</formula>
    </cfRule>
  </conditionalFormatting>
  <conditionalFormatting sqref="AW16">
    <cfRule type="cellIs" dxfId="794" priority="1347" stopIfTrue="1" operator="equal">
      <formula>$A$43</formula>
    </cfRule>
  </conditionalFormatting>
  <conditionalFormatting sqref="AW16">
    <cfRule type="cellIs" dxfId="793" priority="1346" stopIfTrue="1" operator="equal">
      <formula>$A$43</formula>
    </cfRule>
  </conditionalFormatting>
  <conditionalFormatting sqref="AW16">
    <cfRule type="cellIs" dxfId="792" priority="1345" stopIfTrue="1" operator="equal">
      <formula>$A$42</formula>
    </cfRule>
  </conditionalFormatting>
  <conditionalFormatting sqref="AW16">
    <cfRule type="cellIs" dxfId="791" priority="1344" stopIfTrue="1" operator="equal">
      <formula>$A$43</formula>
    </cfRule>
  </conditionalFormatting>
  <conditionalFormatting sqref="AW16">
    <cfRule type="cellIs" dxfId="790" priority="1343" stopIfTrue="1" operator="equal">
      <formula>$A$43</formula>
    </cfRule>
  </conditionalFormatting>
  <conditionalFormatting sqref="AW16">
    <cfRule type="cellIs" dxfId="789" priority="1342" stopIfTrue="1" operator="equal">
      <formula>$A$42</formula>
    </cfRule>
  </conditionalFormatting>
  <conditionalFormatting sqref="AU17">
    <cfRule type="cellIs" dxfId="788" priority="1341" stopIfTrue="1" operator="equal">
      <formula>$A$42</formula>
    </cfRule>
  </conditionalFormatting>
  <conditionalFormatting sqref="AU17">
    <cfRule type="cellIs" dxfId="787" priority="1340" stopIfTrue="1" operator="equal">
      <formula>$A$42</formula>
    </cfRule>
  </conditionalFormatting>
  <conditionalFormatting sqref="AU17">
    <cfRule type="cellIs" dxfId="786" priority="1339" stopIfTrue="1" operator="equal">
      <formula>$A$42</formula>
    </cfRule>
  </conditionalFormatting>
  <conditionalFormatting sqref="AU17">
    <cfRule type="cellIs" dxfId="785" priority="1338" stopIfTrue="1" operator="equal">
      <formula>$A$42</formula>
    </cfRule>
  </conditionalFormatting>
  <conditionalFormatting sqref="AU17">
    <cfRule type="cellIs" dxfId="784" priority="1337" stopIfTrue="1" operator="equal">
      <formula>$A$42</formula>
    </cfRule>
  </conditionalFormatting>
  <conditionalFormatting sqref="AU17">
    <cfRule type="cellIs" dxfId="783" priority="1336" stopIfTrue="1" operator="equal">
      <formula>$A$42</formula>
    </cfRule>
  </conditionalFormatting>
  <conditionalFormatting sqref="AU17">
    <cfRule type="cellIs" dxfId="782" priority="1335" stopIfTrue="1" operator="equal">
      <formula>$A$42</formula>
    </cfRule>
  </conditionalFormatting>
  <conditionalFormatting sqref="AU17">
    <cfRule type="cellIs" dxfId="781" priority="1334" stopIfTrue="1" operator="equal">
      <formula>$A$43</formula>
    </cfRule>
  </conditionalFormatting>
  <conditionalFormatting sqref="AU17">
    <cfRule type="cellIs" dxfId="780" priority="1333" stopIfTrue="1" operator="equal">
      <formula>$A$43</formula>
    </cfRule>
  </conditionalFormatting>
  <conditionalFormatting sqref="AU17">
    <cfRule type="cellIs" dxfId="779" priority="1332" stopIfTrue="1" operator="equal">
      <formula>$A$42</formula>
    </cfRule>
  </conditionalFormatting>
  <conditionalFormatting sqref="AU17">
    <cfRule type="cellIs" dxfId="778" priority="1331" stopIfTrue="1" operator="equal">
      <formula>$A$43</formula>
    </cfRule>
  </conditionalFormatting>
  <conditionalFormatting sqref="AU17">
    <cfRule type="cellIs" dxfId="777" priority="1330" stopIfTrue="1" operator="equal">
      <formula>$A$43</formula>
    </cfRule>
  </conditionalFormatting>
  <conditionalFormatting sqref="AU17">
    <cfRule type="cellIs" dxfId="776" priority="1329" stopIfTrue="1" operator="equal">
      <formula>$A$42</formula>
    </cfRule>
  </conditionalFormatting>
  <conditionalFormatting sqref="AU17">
    <cfRule type="cellIs" dxfId="775" priority="1328" stopIfTrue="1" operator="equal">
      <formula>$A$43</formula>
    </cfRule>
  </conditionalFormatting>
  <conditionalFormatting sqref="AU17">
    <cfRule type="cellIs" dxfId="774" priority="1327" stopIfTrue="1" operator="equal">
      <formula>$A$43</formula>
    </cfRule>
  </conditionalFormatting>
  <conditionalFormatting sqref="AU17">
    <cfRule type="cellIs" dxfId="773" priority="1326" stopIfTrue="1" operator="equal">
      <formula>$A$42</formula>
    </cfRule>
  </conditionalFormatting>
  <conditionalFormatting sqref="AU17">
    <cfRule type="cellIs" dxfId="772" priority="1325" stopIfTrue="1" operator="equal">
      <formula>$A$43</formula>
    </cfRule>
  </conditionalFormatting>
  <conditionalFormatting sqref="AU17">
    <cfRule type="cellIs" dxfId="771" priority="1324" stopIfTrue="1" operator="equal">
      <formula>$A$43</formula>
    </cfRule>
  </conditionalFormatting>
  <conditionalFormatting sqref="AU17">
    <cfRule type="cellIs" dxfId="770" priority="1323" stopIfTrue="1" operator="equal">
      <formula>$A$42</formula>
    </cfRule>
  </conditionalFormatting>
  <conditionalFormatting sqref="AU17">
    <cfRule type="cellIs" dxfId="769" priority="1322" stopIfTrue="1" operator="equal">
      <formula>$A$43</formula>
    </cfRule>
  </conditionalFormatting>
  <conditionalFormatting sqref="AU17">
    <cfRule type="cellIs" dxfId="768" priority="1321" stopIfTrue="1" operator="equal">
      <formula>$A$43</formula>
    </cfRule>
  </conditionalFormatting>
  <conditionalFormatting sqref="AU17">
    <cfRule type="cellIs" dxfId="767" priority="1320" stopIfTrue="1" operator="equal">
      <formula>$A$42</formula>
    </cfRule>
  </conditionalFormatting>
  <conditionalFormatting sqref="AU17">
    <cfRule type="cellIs" dxfId="766" priority="1319" stopIfTrue="1" operator="equal">
      <formula>$A$43</formula>
    </cfRule>
  </conditionalFormatting>
  <conditionalFormatting sqref="AU17">
    <cfRule type="cellIs" dxfId="765" priority="1318" stopIfTrue="1" operator="equal">
      <formula>$A$43</formula>
    </cfRule>
  </conditionalFormatting>
  <conditionalFormatting sqref="AU17">
    <cfRule type="cellIs" dxfId="764" priority="1317" stopIfTrue="1" operator="equal">
      <formula>$A$42</formula>
    </cfRule>
  </conditionalFormatting>
  <conditionalFormatting sqref="AU17">
    <cfRule type="cellIs" dxfId="763" priority="1316" stopIfTrue="1" operator="equal">
      <formula>$A$43</formula>
    </cfRule>
  </conditionalFormatting>
  <conditionalFormatting sqref="AU17">
    <cfRule type="cellIs" dxfId="762" priority="1315" stopIfTrue="1" operator="equal">
      <formula>$A$43</formula>
    </cfRule>
  </conditionalFormatting>
  <conditionalFormatting sqref="AU17">
    <cfRule type="cellIs" dxfId="761" priority="1314" stopIfTrue="1" operator="equal">
      <formula>$A$42</formula>
    </cfRule>
  </conditionalFormatting>
  <conditionalFormatting sqref="AW17">
    <cfRule type="cellIs" dxfId="760" priority="1313" stopIfTrue="1" operator="equal">
      <formula>$A$43</formula>
    </cfRule>
  </conditionalFormatting>
  <conditionalFormatting sqref="AW17">
    <cfRule type="cellIs" dxfId="759" priority="1312" stopIfTrue="1" operator="equal">
      <formula>$A$43</formula>
    </cfRule>
  </conditionalFormatting>
  <conditionalFormatting sqref="AW17">
    <cfRule type="cellIs" dxfId="758" priority="1311" stopIfTrue="1" operator="equal">
      <formula>$A$42</formula>
    </cfRule>
  </conditionalFormatting>
  <conditionalFormatting sqref="AW17">
    <cfRule type="cellIs" dxfId="757" priority="1310" stopIfTrue="1" operator="equal">
      <formula>$A$43</formula>
    </cfRule>
  </conditionalFormatting>
  <conditionalFormatting sqref="AW17">
    <cfRule type="cellIs" dxfId="756" priority="1309" stopIfTrue="1" operator="equal">
      <formula>$A$43</formula>
    </cfRule>
  </conditionalFormatting>
  <conditionalFormatting sqref="AW17">
    <cfRule type="cellIs" dxfId="755" priority="1308" stopIfTrue="1" operator="equal">
      <formula>$A$42</formula>
    </cfRule>
  </conditionalFormatting>
  <conditionalFormatting sqref="AW17">
    <cfRule type="cellIs" dxfId="754" priority="1307" stopIfTrue="1" operator="equal">
      <formula>$A$43</formula>
    </cfRule>
  </conditionalFormatting>
  <conditionalFormatting sqref="AW17">
    <cfRule type="cellIs" dxfId="753" priority="1306" stopIfTrue="1" operator="equal">
      <formula>$A$43</formula>
    </cfRule>
  </conditionalFormatting>
  <conditionalFormatting sqref="AW17">
    <cfRule type="cellIs" dxfId="752" priority="1305" stopIfTrue="1" operator="equal">
      <formula>$A$42</formula>
    </cfRule>
  </conditionalFormatting>
  <conditionalFormatting sqref="AW17">
    <cfRule type="cellIs" dxfId="751" priority="1304" stopIfTrue="1" operator="equal">
      <formula>$A$43</formula>
    </cfRule>
  </conditionalFormatting>
  <conditionalFormatting sqref="AW17">
    <cfRule type="cellIs" dxfId="750" priority="1303" stopIfTrue="1" operator="equal">
      <formula>$A$43</formula>
    </cfRule>
  </conditionalFormatting>
  <conditionalFormatting sqref="AW17">
    <cfRule type="cellIs" dxfId="749" priority="1302" stopIfTrue="1" operator="equal">
      <formula>$A$42</formula>
    </cfRule>
  </conditionalFormatting>
  <conditionalFormatting sqref="AW17">
    <cfRule type="cellIs" dxfId="748" priority="1301" stopIfTrue="1" operator="equal">
      <formula>$A$43</formula>
    </cfRule>
  </conditionalFormatting>
  <conditionalFormatting sqref="AW17">
    <cfRule type="cellIs" dxfId="747" priority="1300" stopIfTrue="1" operator="equal">
      <formula>$A$43</formula>
    </cfRule>
  </conditionalFormatting>
  <conditionalFormatting sqref="AW17">
    <cfRule type="cellIs" dxfId="746" priority="1299" stopIfTrue="1" operator="equal">
      <formula>$A$42</formula>
    </cfRule>
  </conditionalFormatting>
  <conditionalFormatting sqref="AW17">
    <cfRule type="cellIs" dxfId="745" priority="1298" stopIfTrue="1" operator="equal">
      <formula>$A$43</formula>
    </cfRule>
  </conditionalFormatting>
  <conditionalFormatting sqref="AW17">
    <cfRule type="cellIs" dxfId="744" priority="1297" stopIfTrue="1" operator="equal">
      <formula>$A$43</formula>
    </cfRule>
  </conditionalFormatting>
  <conditionalFormatting sqref="AW17">
    <cfRule type="cellIs" dxfId="743" priority="1296" stopIfTrue="1" operator="equal">
      <formula>$A$42</formula>
    </cfRule>
  </conditionalFormatting>
  <conditionalFormatting sqref="AW17">
    <cfRule type="cellIs" dxfId="742" priority="1295" stopIfTrue="1" operator="equal">
      <formula>$A$43</formula>
    </cfRule>
  </conditionalFormatting>
  <conditionalFormatting sqref="AW17">
    <cfRule type="cellIs" dxfId="741" priority="1294" stopIfTrue="1" operator="equal">
      <formula>$A$43</formula>
    </cfRule>
  </conditionalFormatting>
  <conditionalFormatting sqref="AW17">
    <cfRule type="cellIs" dxfId="740" priority="1293" stopIfTrue="1" operator="equal">
      <formula>$A$42</formula>
    </cfRule>
  </conditionalFormatting>
  <conditionalFormatting sqref="AU18">
    <cfRule type="cellIs" dxfId="739" priority="1292" stopIfTrue="1" operator="equal">
      <formula>$A$43</formula>
    </cfRule>
  </conditionalFormatting>
  <conditionalFormatting sqref="AU18">
    <cfRule type="cellIs" dxfId="738" priority="1291" stopIfTrue="1" operator="equal">
      <formula>$A$43</formula>
    </cfRule>
  </conditionalFormatting>
  <conditionalFormatting sqref="AU18">
    <cfRule type="cellIs" dxfId="737" priority="1290" stopIfTrue="1" operator="equal">
      <formula>$A$43</formula>
    </cfRule>
  </conditionalFormatting>
  <conditionalFormatting sqref="AU18">
    <cfRule type="cellIs" dxfId="736" priority="1289" stopIfTrue="1" operator="equal">
      <formula>$A$43</formula>
    </cfRule>
  </conditionalFormatting>
  <conditionalFormatting sqref="AU18">
    <cfRule type="cellIs" dxfId="735" priority="1288" stopIfTrue="1" operator="equal">
      <formula>$A$43</formula>
    </cfRule>
  </conditionalFormatting>
  <conditionalFormatting sqref="AU18">
    <cfRule type="cellIs" dxfId="734" priority="1287" stopIfTrue="1" operator="equal">
      <formula>$A$43</formula>
    </cfRule>
  </conditionalFormatting>
  <conditionalFormatting sqref="AU18">
    <cfRule type="cellIs" dxfId="733" priority="1286" stopIfTrue="1" operator="equal">
      <formula>$A$43</formula>
    </cfRule>
  </conditionalFormatting>
  <conditionalFormatting sqref="AU18">
    <cfRule type="cellIs" dxfId="732" priority="1285" stopIfTrue="1" operator="equal">
      <formula>$A$43</formula>
    </cfRule>
  </conditionalFormatting>
  <conditionalFormatting sqref="AU18">
    <cfRule type="cellIs" dxfId="731" priority="1284" stopIfTrue="1" operator="equal">
      <formula>$A$43</formula>
    </cfRule>
  </conditionalFormatting>
  <conditionalFormatting sqref="AU18">
    <cfRule type="cellIs" dxfId="730" priority="1283" stopIfTrue="1" operator="equal">
      <formula>$A$43</formula>
    </cfRule>
  </conditionalFormatting>
  <conditionalFormatting sqref="AU18">
    <cfRule type="cellIs" dxfId="729" priority="1282" stopIfTrue="1" operator="equal">
      <formula>$A$43</formula>
    </cfRule>
  </conditionalFormatting>
  <conditionalFormatting sqref="AU18">
    <cfRule type="cellIs" dxfId="728" priority="1281" stopIfTrue="1" operator="equal">
      <formula>$A$43</formula>
    </cfRule>
  </conditionalFormatting>
  <conditionalFormatting sqref="AU18">
    <cfRule type="cellIs" dxfId="727" priority="1280" stopIfTrue="1" operator="equal">
      <formula>$A$43</formula>
    </cfRule>
  </conditionalFormatting>
  <conditionalFormatting sqref="AU18">
    <cfRule type="cellIs" dxfId="726" priority="1279" stopIfTrue="1" operator="equal">
      <formula>$A$43</formula>
    </cfRule>
  </conditionalFormatting>
  <conditionalFormatting sqref="AW18">
    <cfRule type="cellIs" dxfId="725" priority="1278" stopIfTrue="1" operator="equal">
      <formula>$A$43</formula>
    </cfRule>
  </conditionalFormatting>
  <conditionalFormatting sqref="AW18">
    <cfRule type="cellIs" dxfId="724" priority="1277" stopIfTrue="1" operator="equal">
      <formula>$A$43</formula>
    </cfRule>
  </conditionalFormatting>
  <conditionalFormatting sqref="AW18">
    <cfRule type="cellIs" dxfId="723" priority="1276" stopIfTrue="1" operator="equal">
      <formula>$A$43</formula>
    </cfRule>
  </conditionalFormatting>
  <conditionalFormatting sqref="AW18">
    <cfRule type="cellIs" dxfId="722" priority="1275" stopIfTrue="1" operator="equal">
      <formula>$A$43</formula>
    </cfRule>
  </conditionalFormatting>
  <conditionalFormatting sqref="AW18">
    <cfRule type="cellIs" dxfId="721" priority="1274" stopIfTrue="1" operator="equal">
      <formula>$A$43</formula>
    </cfRule>
  </conditionalFormatting>
  <conditionalFormatting sqref="AW18">
    <cfRule type="cellIs" dxfId="720" priority="1273" stopIfTrue="1" operator="equal">
      <formula>$A$43</formula>
    </cfRule>
  </conditionalFormatting>
  <conditionalFormatting sqref="AW18">
    <cfRule type="cellIs" dxfId="719" priority="1272" stopIfTrue="1" operator="equal">
      <formula>$A$43</formula>
    </cfRule>
  </conditionalFormatting>
  <conditionalFormatting sqref="AW18">
    <cfRule type="cellIs" dxfId="718" priority="1271" stopIfTrue="1" operator="equal">
      <formula>$A$43</formula>
    </cfRule>
  </conditionalFormatting>
  <conditionalFormatting sqref="AW18">
    <cfRule type="cellIs" dxfId="717" priority="1270" stopIfTrue="1" operator="equal">
      <formula>$A$43</formula>
    </cfRule>
  </conditionalFormatting>
  <conditionalFormatting sqref="AW18">
    <cfRule type="cellIs" dxfId="716" priority="1269" stopIfTrue="1" operator="equal">
      <formula>$A$43</formula>
    </cfRule>
  </conditionalFormatting>
  <conditionalFormatting sqref="AW18">
    <cfRule type="cellIs" dxfId="715" priority="1268" stopIfTrue="1" operator="equal">
      <formula>$A$43</formula>
    </cfRule>
  </conditionalFormatting>
  <conditionalFormatting sqref="AW18">
    <cfRule type="cellIs" dxfId="714" priority="1267" stopIfTrue="1" operator="equal">
      <formula>$A$43</formula>
    </cfRule>
  </conditionalFormatting>
  <conditionalFormatting sqref="AW18">
    <cfRule type="cellIs" dxfId="713" priority="1266" stopIfTrue="1" operator="equal">
      <formula>$A$43</formula>
    </cfRule>
  </conditionalFormatting>
  <conditionalFormatting sqref="AW18">
    <cfRule type="cellIs" dxfId="712" priority="1265" stopIfTrue="1" operator="equal">
      <formula>$A$43</formula>
    </cfRule>
  </conditionalFormatting>
  <conditionalFormatting sqref="AU19">
    <cfRule type="cellIs" dxfId="711" priority="1264" stopIfTrue="1" operator="equal">
      <formula>$A$42</formula>
    </cfRule>
  </conditionalFormatting>
  <conditionalFormatting sqref="AU19">
    <cfRule type="cellIs" dxfId="710" priority="1263" stopIfTrue="1" operator="equal">
      <formula>$A$43</formula>
    </cfRule>
  </conditionalFormatting>
  <conditionalFormatting sqref="AU19">
    <cfRule type="cellIs" dxfId="709" priority="1262" stopIfTrue="1" operator="equal">
      <formula>$A$42</formula>
    </cfRule>
  </conditionalFormatting>
  <conditionalFormatting sqref="AU19">
    <cfRule type="cellIs" dxfId="708" priority="1261" stopIfTrue="1" operator="equal">
      <formula>$A$43</formula>
    </cfRule>
  </conditionalFormatting>
  <conditionalFormatting sqref="AU19">
    <cfRule type="cellIs" dxfId="707" priority="1260" stopIfTrue="1" operator="equal">
      <formula>$A$42</formula>
    </cfRule>
  </conditionalFormatting>
  <conditionalFormatting sqref="AU19">
    <cfRule type="cellIs" dxfId="706" priority="1259" stopIfTrue="1" operator="equal">
      <formula>$A$43</formula>
    </cfRule>
  </conditionalFormatting>
  <conditionalFormatting sqref="AU19">
    <cfRule type="cellIs" dxfId="705" priority="1258" stopIfTrue="1" operator="equal">
      <formula>$A$42</formula>
    </cfRule>
  </conditionalFormatting>
  <conditionalFormatting sqref="AU19">
    <cfRule type="cellIs" dxfId="704" priority="1257" stopIfTrue="1" operator="equal">
      <formula>$A$43</formula>
    </cfRule>
  </conditionalFormatting>
  <conditionalFormatting sqref="AU19">
    <cfRule type="cellIs" dxfId="703" priority="1256" stopIfTrue="1" operator="equal">
      <formula>$A$42</formula>
    </cfRule>
  </conditionalFormatting>
  <conditionalFormatting sqref="AU19">
    <cfRule type="cellIs" dxfId="702" priority="1255" stopIfTrue="1" operator="equal">
      <formula>$A$43</formula>
    </cfRule>
  </conditionalFormatting>
  <conditionalFormatting sqref="AU19">
    <cfRule type="cellIs" dxfId="701" priority="1254" stopIfTrue="1" operator="equal">
      <formula>$A$42</formula>
    </cfRule>
  </conditionalFormatting>
  <conditionalFormatting sqref="AU19">
    <cfRule type="cellIs" dxfId="700" priority="1253" stopIfTrue="1" operator="equal">
      <formula>$A$43</formula>
    </cfRule>
  </conditionalFormatting>
  <conditionalFormatting sqref="AU19">
    <cfRule type="cellIs" dxfId="699" priority="1252" stopIfTrue="1" operator="equal">
      <formula>$A$42</formula>
    </cfRule>
  </conditionalFormatting>
  <conditionalFormatting sqref="AU19">
    <cfRule type="cellIs" dxfId="698" priority="1251" stopIfTrue="1" operator="equal">
      <formula>$A$43</formula>
    </cfRule>
  </conditionalFormatting>
  <conditionalFormatting sqref="AU19">
    <cfRule type="cellIs" dxfId="697" priority="1250" stopIfTrue="1" operator="equal">
      <formula>$A$42</formula>
    </cfRule>
  </conditionalFormatting>
  <conditionalFormatting sqref="AU19">
    <cfRule type="cellIs" dxfId="696" priority="1249" stopIfTrue="1" operator="equal">
      <formula>$A$43</formula>
    </cfRule>
  </conditionalFormatting>
  <conditionalFormatting sqref="AU19">
    <cfRule type="cellIs" dxfId="695" priority="1248" stopIfTrue="1" operator="equal">
      <formula>$A$42</formula>
    </cfRule>
  </conditionalFormatting>
  <conditionalFormatting sqref="AU19">
    <cfRule type="cellIs" dxfId="694" priority="1247" stopIfTrue="1" operator="equal">
      <formula>$A$43</formula>
    </cfRule>
  </conditionalFormatting>
  <conditionalFormatting sqref="AU19">
    <cfRule type="cellIs" dxfId="693" priority="1246" stopIfTrue="1" operator="equal">
      <formula>$A$42</formula>
    </cfRule>
  </conditionalFormatting>
  <conditionalFormatting sqref="AU19">
    <cfRule type="cellIs" dxfId="692" priority="1245" stopIfTrue="1" operator="equal">
      <formula>$A$43</formula>
    </cfRule>
  </conditionalFormatting>
  <conditionalFormatting sqref="AU19">
    <cfRule type="cellIs" dxfId="691" priority="1244" stopIfTrue="1" operator="equal">
      <formula>$A$42</formula>
    </cfRule>
  </conditionalFormatting>
  <conditionalFormatting sqref="AU19">
    <cfRule type="cellIs" dxfId="690" priority="1243" stopIfTrue="1" operator="equal">
      <formula>$A$43</formula>
    </cfRule>
  </conditionalFormatting>
  <conditionalFormatting sqref="AU19">
    <cfRule type="cellIs" dxfId="689" priority="1242" stopIfTrue="1" operator="equal">
      <formula>$A$42</formula>
    </cfRule>
  </conditionalFormatting>
  <conditionalFormatting sqref="AU19">
    <cfRule type="cellIs" dxfId="688" priority="1241" stopIfTrue="1" operator="equal">
      <formula>$A$43</formula>
    </cfRule>
  </conditionalFormatting>
  <conditionalFormatting sqref="AU19">
    <cfRule type="cellIs" dxfId="687" priority="1240" stopIfTrue="1" operator="equal">
      <formula>$A$42</formula>
    </cfRule>
  </conditionalFormatting>
  <conditionalFormatting sqref="AU19">
    <cfRule type="cellIs" dxfId="686" priority="1239" stopIfTrue="1" operator="equal">
      <formula>$A$43</formula>
    </cfRule>
  </conditionalFormatting>
  <conditionalFormatting sqref="AU19">
    <cfRule type="cellIs" dxfId="685" priority="1238" stopIfTrue="1" operator="equal">
      <formula>$A$42</formula>
    </cfRule>
  </conditionalFormatting>
  <conditionalFormatting sqref="AU19">
    <cfRule type="cellIs" dxfId="684" priority="1237" stopIfTrue="1" operator="equal">
      <formula>$A$43</formula>
    </cfRule>
  </conditionalFormatting>
  <conditionalFormatting sqref="AU19">
    <cfRule type="cellIs" dxfId="683" priority="1236" stopIfTrue="1" operator="equal">
      <formula>$A$42</formula>
    </cfRule>
  </conditionalFormatting>
  <conditionalFormatting sqref="AW19">
    <cfRule type="cellIs" dxfId="682" priority="1235" stopIfTrue="1" operator="equal">
      <formula>$A$42</formula>
    </cfRule>
  </conditionalFormatting>
  <conditionalFormatting sqref="AW19">
    <cfRule type="cellIs" dxfId="681" priority="1234" stopIfTrue="1" operator="equal">
      <formula>$A$43</formula>
    </cfRule>
  </conditionalFormatting>
  <conditionalFormatting sqref="AW19">
    <cfRule type="cellIs" dxfId="680" priority="1233" stopIfTrue="1" operator="equal">
      <formula>$A$42</formula>
    </cfRule>
  </conditionalFormatting>
  <conditionalFormatting sqref="AW19">
    <cfRule type="cellIs" dxfId="679" priority="1232" stopIfTrue="1" operator="equal">
      <formula>$A$43</formula>
    </cfRule>
  </conditionalFormatting>
  <conditionalFormatting sqref="AW19">
    <cfRule type="cellIs" dxfId="678" priority="1231" stopIfTrue="1" operator="equal">
      <formula>$A$42</formula>
    </cfRule>
  </conditionalFormatting>
  <conditionalFormatting sqref="AW19">
    <cfRule type="cellIs" dxfId="677" priority="1230" stopIfTrue="1" operator="equal">
      <formula>$A$43</formula>
    </cfRule>
  </conditionalFormatting>
  <conditionalFormatting sqref="AW19">
    <cfRule type="cellIs" dxfId="676" priority="1229" stopIfTrue="1" operator="equal">
      <formula>$A$42</formula>
    </cfRule>
  </conditionalFormatting>
  <conditionalFormatting sqref="AW19">
    <cfRule type="cellIs" dxfId="675" priority="1228" stopIfTrue="1" operator="equal">
      <formula>$A$43</formula>
    </cfRule>
  </conditionalFormatting>
  <conditionalFormatting sqref="AW19">
    <cfRule type="cellIs" dxfId="674" priority="1227" stopIfTrue="1" operator="equal">
      <formula>$A$42</formula>
    </cfRule>
  </conditionalFormatting>
  <conditionalFormatting sqref="AW19">
    <cfRule type="cellIs" dxfId="673" priority="1226" stopIfTrue="1" operator="equal">
      <formula>$A$43</formula>
    </cfRule>
  </conditionalFormatting>
  <conditionalFormatting sqref="AW19">
    <cfRule type="cellIs" dxfId="672" priority="1225" stopIfTrue="1" operator="equal">
      <formula>$A$42</formula>
    </cfRule>
  </conditionalFormatting>
  <conditionalFormatting sqref="AW19">
    <cfRule type="cellIs" dxfId="671" priority="1224" stopIfTrue="1" operator="equal">
      <formula>$A$43</formula>
    </cfRule>
  </conditionalFormatting>
  <conditionalFormatting sqref="AW19">
    <cfRule type="cellIs" dxfId="670" priority="1223" stopIfTrue="1" operator="equal">
      <formula>$A$42</formula>
    </cfRule>
  </conditionalFormatting>
  <conditionalFormatting sqref="AW19">
    <cfRule type="cellIs" dxfId="669" priority="1222" stopIfTrue="1" operator="equal">
      <formula>$A$43</formula>
    </cfRule>
  </conditionalFormatting>
  <conditionalFormatting sqref="AW19">
    <cfRule type="cellIs" dxfId="668" priority="1221" stopIfTrue="1" operator="equal">
      <formula>$A$42</formula>
    </cfRule>
  </conditionalFormatting>
  <conditionalFormatting sqref="AW19">
    <cfRule type="cellIs" dxfId="667" priority="1220" stopIfTrue="1" operator="equal">
      <formula>$A$43</formula>
    </cfRule>
  </conditionalFormatting>
  <conditionalFormatting sqref="AW19">
    <cfRule type="cellIs" dxfId="666" priority="1219" stopIfTrue="1" operator="equal">
      <formula>$A$42</formula>
    </cfRule>
  </conditionalFormatting>
  <conditionalFormatting sqref="AW19">
    <cfRule type="cellIs" dxfId="665" priority="1218" stopIfTrue="1" operator="equal">
      <formula>$A$43</formula>
    </cfRule>
  </conditionalFormatting>
  <conditionalFormatting sqref="AW19">
    <cfRule type="cellIs" dxfId="664" priority="1217" stopIfTrue="1" operator="equal">
      <formula>$A$42</formula>
    </cfRule>
  </conditionalFormatting>
  <conditionalFormatting sqref="AW19">
    <cfRule type="cellIs" dxfId="663" priority="1216" stopIfTrue="1" operator="equal">
      <formula>$A$43</formula>
    </cfRule>
  </conditionalFormatting>
  <conditionalFormatting sqref="AW19">
    <cfRule type="cellIs" dxfId="662" priority="1215" stopIfTrue="1" operator="equal">
      <formula>$A$42</formula>
    </cfRule>
  </conditionalFormatting>
  <conditionalFormatting sqref="AW19">
    <cfRule type="cellIs" dxfId="661" priority="1214" stopIfTrue="1" operator="equal">
      <formula>$A$43</formula>
    </cfRule>
  </conditionalFormatting>
  <conditionalFormatting sqref="AW19">
    <cfRule type="cellIs" dxfId="660" priority="1213" stopIfTrue="1" operator="equal">
      <formula>$A$42</formula>
    </cfRule>
  </conditionalFormatting>
  <conditionalFormatting sqref="AW19">
    <cfRule type="cellIs" dxfId="659" priority="1212" stopIfTrue="1" operator="equal">
      <formula>$A$43</formula>
    </cfRule>
  </conditionalFormatting>
  <conditionalFormatting sqref="AW19">
    <cfRule type="cellIs" dxfId="658" priority="1211" stopIfTrue="1" operator="equal">
      <formula>$A$42</formula>
    </cfRule>
  </conditionalFormatting>
  <conditionalFormatting sqref="AW19">
    <cfRule type="cellIs" dxfId="657" priority="1210" stopIfTrue="1" operator="equal">
      <formula>$A$43</formula>
    </cfRule>
  </conditionalFormatting>
  <conditionalFormatting sqref="AW19">
    <cfRule type="cellIs" dxfId="656" priority="1209" stopIfTrue="1" operator="equal">
      <formula>$A$42</formula>
    </cfRule>
  </conditionalFormatting>
  <conditionalFormatting sqref="AW19">
    <cfRule type="cellIs" dxfId="655" priority="1208" stopIfTrue="1" operator="equal">
      <formula>$A$43</formula>
    </cfRule>
  </conditionalFormatting>
  <conditionalFormatting sqref="AW19">
    <cfRule type="cellIs" dxfId="654" priority="1207" stopIfTrue="1" operator="equal">
      <formula>$A$42</formula>
    </cfRule>
  </conditionalFormatting>
  <conditionalFormatting sqref="AU20">
    <cfRule type="cellIs" dxfId="653" priority="1206" stopIfTrue="1" operator="equal">
      <formula>$A$43</formula>
    </cfRule>
  </conditionalFormatting>
  <conditionalFormatting sqref="AU20">
    <cfRule type="cellIs" dxfId="652" priority="1205" stopIfTrue="1" operator="equal">
      <formula>$A$43</formula>
    </cfRule>
  </conditionalFormatting>
  <conditionalFormatting sqref="AU20">
    <cfRule type="cellIs" dxfId="651" priority="1204" stopIfTrue="1" operator="equal">
      <formula>$A$43</formula>
    </cfRule>
  </conditionalFormatting>
  <conditionalFormatting sqref="AU20">
    <cfRule type="cellIs" dxfId="650" priority="1203" stopIfTrue="1" operator="equal">
      <formula>$A$43</formula>
    </cfRule>
  </conditionalFormatting>
  <conditionalFormatting sqref="AU20">
    <cfRule type="cellIs" dxfId="649" priority="1202" stopIfTrue="1" operator="equal">
      <formula>$A$43</formula>
    </cfRule>
  </conditionalFormatting>
  <conditionalFormatting sqref="AU20">
    <cfRule type="cellIs" dxfId="648" priority="1201" stopIfTrue="1" operator="equal">
      <formula>$A$43</formula>
    </cfRule>
  </conditionalFormatting>
  <conditionalFormatting sqref="AU20">
    <cfRule type="cellIs" dxfId="647" priority="1200" stopIfTrue="1" operator="equal">
      <formula>$A$43</formula>
    </cfRule>
  </conditionalFormatting>
  <conditionalFormatting sqref="AU20">
    <cfRule type="cellIs" dxfId="646" priority="1199" stopIfTrue="1" operator="equal">
      <formula>$A$43</formula>
    </cfRule>
  </conditionalFormatting>
  <conditionalFormatting sqref="AU20">
    <cfRule type="cellIs" dxfId="645" priority="1198" stopIfTrue="1" operator="equal">
      <formula>$A$43</formula>
    </cfRule>
  </conditionalFormatting>
  <conditionalFormatting sqref="AU20">
    <cfRule type="cellIs" dxfId="644" priority="1197" stopIfTrue="1" operator="equal">
      <formula>$A$43</formula>
    </cfRule>
  </conditionalFormatting>
  <conditionalFormatting sqref="AU20">
    <cfRule type="cellIs" dxfId="643" priority="1196" stopIfTrue="1" operator="equal">
      <formula>$A$43</formula>
    </cfRule>
  </conditionalFormatting>
  <conditionalFormatting sqref="AU20">
    <cfRule type="cellIs" dxfId="642" priority="1195" stopIfTrue="1" operator="equal">
      <formula>$A$43</formula>
    </cfRule>
  </conditionalFormatting>
  <conditionalFormatting sqref="AU20">
    <cfRule type="cellIs" dxfId="641" priority="1194" stopIfTrue="1" operator="equal">
      <formula>$A$43</formula>
    </cfRule>
  </conditionalFormatting>
  <conditionalFormatting sqref="AU20">
    <cfRule type="cellIs" dxfId="640" priority="1193" stopIfTrue="1" operator="equal">
      <formula>$A$43</formula>
    </cfRule>
  </conditionalFormatting>
  <conditionalFormatting sqref="AW20">
    <cfRule type="cellIs" dxfId="639" priority="1192" stopIfTrue="1" operator="equal">
      <formula>$A$43</formula>
    </cfRule>
  </conditionalFormatting>
  <conditionalFormatting sqref="AW20">
    <cfRule type="cellIs" dxfId="638" priority="1191" stopIfTrue="1" operator="equal">
      <formula>$A$43</formula>
    </cfRule>
  </conditionalFormatting>
  <conditionalFormatting sqref="AW20">
    <cfRule type="cellIs" dxfId="637" priority="1190" stopIfTrue="1" operator="equal">
      <formula>$A$43</formula>
    </cfRule>
  </conditionalFormatting>
  <conditionalFormatting sqref="AW20">
    <cfRule type="cellIs" dxfId="636" priority="1189" stopIfTrue="1" operator="equal">
      <formula>$A$43</formula>
    </cfRule>
  </conditionalFormatting>
  <conditionalFormatting sqref="AW20">
    <cfRule type="cellIs" dxfId="635" priority="1188" stopIfTrue="1" operator="equal">
      <formula>$A$43</formula>
    </cfRule>
  </conditionalFormatting>
  <conditionalFormatting sqref="AW20">
    <cfRule type="cellIs" dxfId="634" priority="1187" stopIfTrue="1" operator="equal">
      <formula>$A$43</formula>
    </cfRule>
  </conditionalFormatting>
  <conditionalFormatting sqref="AW20">
    <cfRule type="cellIs" dxfId="633" priority="1186" stopIfTrue="1" operator="equal">
      <formula>$A$43</formula>
    </cfRule>
  </conditionalFormatting>
  <conditionalFormatting sqref="AW20">
    <cfRule type="cellIs" dxfId="632" priority="1185" stopIfTrue="1" operator="equal">
      <formula>$A$43</formula>
    </cfRule>
  </conditionalFormatting>
  <conditionalFormatting sqref="AW20">
    <cfRule type="cellIs" dxfId="631" priority="1184" stopIfTrue="1" operator="equal">
      <formula>$A$43</formula>
    </cfRule>
  </conditionalFormatting>
  <conditionalFormatting sqref="AW20">
    <cfRule type="cellIs" dxfId="630" priority="1183" stopIfTrue="1" operator="equal">
      <formula>$A$43</formula>
    </cfRule>
  </conditionalFormatting>
  <conditionalFormatting sqref="AW20">
    <cfRule type="cellIs" dxfId="629" priority="1182" stopIfTrue="1" operator="equal">
      <formula>$A$43</formula>
    </cfRule>
  </conditionalFormatting>
  <conditionalFormatting sqref="AW20">
    <cfRule type="cellIs" dxfId="628" priority="1181" stopIfTrue="1" operator="equal">
      <formula>$A$43</formula>
    </cfRule>
  </conditionalFormatting>
  <conditionalFormatting sqref="AW20">
    <cfRule type="cellIs" dxfId="627" priority="1180" stopIfTrue="1" operator="equal">
      <formula>$A$43</formula>
    </cfRule>
  </conditionalFormatting>
  <conditionalFormatting sqref="AW20">
    <cfRule type="cellIs" dxfId="626" priority="1179" stopIfTrue="1" operator="equal">
      <formula>$A$43</formula>
    </cfRule>
  </conditionalFormatting>
  <conditionalFormatting sqref="AU21">
    <cfRule type="cellIs" dxfId="625" priority="1178" stopIfTrue="1" operator="equal">
      <formula>$A$43</formula>
    </cfRule>
  </conditionalFormatting>
  <conditionalFormatting sqref="AU21">
    <cfRule type="cellIs" dxfId="624" priority="1177" stopIfTrue="1" operator="equal">
      <formula>$A$43</formula>
    </cfRule>
  </conditionalFormatting>
  <conditionalFormatting sqref="AU21">
    <cfRule type="cellIs" dxfId="623" priority="1176" stopIfTrue="1" operator="equal">
      <formula>$A$43</formula>
    </cfRule>
  </conditionalFormatting>
  <conditionalFormatting sqref="AU21">
    <cfRule type="cellIs" dxfId="622" priority="1175" stopIfTrue="1" operator="equal">
      <formula>$A$43</formula>
    </cfRule>
  </conditionalFormatting>
  <conditionalFormatting sqref="AU21">
    <cfRule type="cellIs" dxfId="621" priority="1174" stopIfTrue="1" operator="equal">
      <formula>$A$43</formula>
    </cfRule>
  </conditionalFormatting>
  <conditionalFormatting sqref="AU21">
    <cfRule type="cellIs" dxfId="620" priority="1173" stopIfTrue="1" operator="equal">
      <formula>$A$43</formula>
    </cfRule>
  </conditionalFormatting>
  <conditionalFormatting sqref="AU21">
    <cfRule type="cellIs" dxfId="619" priority="1172" stopIfTrue="1" operator="equal">
      <formula>$A$43</formula>
    </cfRule>
  </conditionalFormatting>
  <conditionalFormatting sqref="AU21">
    <cfRule type="cellIs" dxfId="618" priority="1171" stopIfTrue="1" operator="equal">
      <formula>$A$43</formula>
    </cfRule>
  </conditionalFormatting>
  <conditionalFormatting sqref="AU21">
    <cfRule type="cellIs" dxfId="617" priority="1170" stopIfTrue="1" operator="equal">
      <formula>$A$43</formula>
    </cfRule>
  </conditionalFormatting>
  <conditionalFormatting sqref="AU21">
    <cfRule type="cellIs" dxfId="616" priority="1169" stopIfTrue="1" operator="equal">
      <formula>$A$43</formula>
    </cfRule>
  </conditionalFormatting>
  <conditionalFormatting sqref="AU21">
    <cfRule type="cellIs" dxfId="615" priority="1168" stopIfTrue="1" operator="equal">
      <formula>$A$43</formula>
    </cfRule>
  </conditionalFormatting>
  <conditionalFormatting sqref="AU21">
    <cfRule type="cellIs" dxfId="614" priority="1167" stopIfTrue="1" operator="equal">
      <formula>$A$43</formula>
    </cfRule>
  </conditionalFormatting>
  <conditionalFormatting sqref="AU21">
    <cfRule type="cellIs" dxfId="613" priority="1166" stopIfTrue="1" operator="equal">
      <formula>$A$43</formula>
    </cfRule>
  </conditionalFormatting>
  <conditionalFormatting sqref="AU21">
    <cfRule type="cellIs" dxfId="612" priority="1165" stopIfTrue="1" operator="equal">
      <formula>$A$43</formula>
    </cfRule>
  </conditionalFormatting>
  <conditionalFormatting sqref="AW21">
    <cfRule type="cellIs" dxfId="611" priority="1164" stopIfTrue="1" operator="equal">
      <formula>$A$43</formula>
    </cfRule>
  </conditionalFormatting>
  <conditionalFormatting sqref="AW21">
    <cfRule type="cellIs" dxfId="610" priority="1163" stopIfTrue="1" operator="equal">
      <formula>$A$43</formula>
    </cfRule>
  </conditionalFormatting>
  <conditionalFormatting sqref="AW21">
    <cfRule type="cellIs" dxfId="609" priority="1162" stopIfTrue="1" operator="equal">
      <formula>$A$43</formula>
    </cfRule>
  </conditionalFormatting>
  <conditionalFormatting sqref="AW21">
    <cfRule type="cellIs" dxfId="608" priority="1161" stopIfTrue="1" operator="equal">
      <formula>$A$43</formula>
    </cfRule>
  </conditionalFormatting>
  <conditionalFormatting sqref="AW21">
    <cfRule type="cellIs" dxfId="607" priority="1160" stopIfTrue="1" operator="equal">
      <formula>$A$43</formula>
    </cfRule>
  </conditionalFormatting>
  <conditionalFormatting sqref="AW21">
    <cfRule type="cellIs" dxfId="606" priority="1159" stopIfTrue="1" operator="equal">
      <formula>$A$43</formula>
    </cfRule>
  </conditionalFormatting>
  <conditionalFormatting sqref="AW21">
    <cfRule type="cellIs" dxfId="605" priority="1158" stopIfTrue="1" operator="equal">
      <formula>$A$43</formula>
    </cfRule>
  </conditionalFormatting>
  <conditionalFormatting sqref="AW21">
    <cfRule type="cellIs" dxfId="604" priority="1157" stopIfTrue="1" operator="equal">
      <formula>$A$43</formula>
    </cfRule>
  </conditionalFormatting>
  <conditionalFormatting sqref="AW21">
    <cfRule type="cellIs" dxfId="603" priority="1156" stopIfTrue="1" operator="equal">
      <formula>$A$43</formula>
    </cfRule>
  </conditionalFormatting>
  <conditionalFormatting sqref="AW21">
    <cfRule type="cellIs" dxfId="602" priority="1155" stopIfTrue="1" operator="equal">
      <formula>$A$43</formula>
    </cfRule>
  </conditionalFormatting>
  <conditionalFormatting sqref="AW21">
    <cfRule type="cellIs" dxfId="601" priority="1154" stopIfTrue="1" operator="equal">
      <formula>$A$43</formula>
    </cfRule>
  </conditionalFormatting>
  <conditionalFormatting sqref="AW21">
    <cfRule type="cellIs" dxfId="600" priority="1153" stopIfTrue="1" operator="equal">
      <formula>$A$43</formula>
    </cfRule>
  </conditionalFormatting>
  <conditionalFormatting sqref="AW21">
    <cfRule type="cellIs" dxfId="599" priority="1152" stopIfTrue="1" operator="equal">
      <formula>$A$43</formula>
    </cfRule>
  </conditionalFormatting>
  <conditionalFormatting sqref="AW21">
    <cfRule type="cellIs" dxfId="598" priority="1151" stopIfTrue="1" operator="equal">
      <formula>$A$43</formula>
    </cfRule>
  </conditionalFormatting>
  <conditionalFormatting sqref="AU25">
    <cfRule type="cellIs" dxfId="597" priority="828" stopIfTrue="1" operator="equal">
      <formula>$A$43</formula>
    </cfRule>
  </conditionalFormatting>
  <conditionalFormatting sqref="AU25">
    <cfRule type="cellIs" dxfId="596" priority="827" stopIfTrue="1" operator="equal">
      <formula>$A$43</formula>
    </cfRule>
  </conditionalFormatting>
  <conditionalFormatting sqref="AU25">
    <cfRule type="cellIs" dxfId="595" priority="826" stopIfTrue="1" operator="equal">
      <formula>$A$43</formula>
    </cfRule>
  </conditionalFormatting>
  <conditionalFormatting sqref="AU25">
    <cfRule type="cellIs" dxfId="594" priority="825" stopIfTrue="1" operator="equal">
      <formula>$A$43</formula>
    </cfRule>
  </conditionalFormatting>
  <conditionalFormatting sqref="AU25">
    <cfRule type="cellIs" dxfId="593" priority="824" stopIfTrue="1" operator="equal">
      <formula>$A$43</formula>
    </cfRule>
  </conditionalFormatting>
  <conditionalFormatting sqref="AU25">
    <cfRule type="cellIs" dxfId="592" priority="823" stopIfTrue="1" operator="equal">
      <formula>$A$43</formula>
    </cfRule>
  </conditionalFormatting>
  <conditionalFormatting sqref="AU25">
    <cfRule type="cellIs" dxfId="591" priority="822" stopIfTrue="1" operator="equal">
      <formula>$A$43</formula>
    </cfRule>
  </conditionalFormatting>
  <conditionalFormatting sqref="AU25">
    <cfRule type="cellIs" dxfId="590" priority="821" stopIfTrue="1" operator="equal">
      <formula>$A$43</formula>
    </cfRule>
  </conditionalFormatting>
  <conditionalFormatting sqref="AU25">
    <cfRule type="cellIs" dxfId="589" priority="820" stopIfTrue="1" operator="equal">
      <formula>$A$43</formula>
    </cfRule>
  </conditionalFormatting>
  <conditionalFormatting sqref="AU25">
    <cfRule type="cellIs" dxfId="588" priority="819" stopIfTrue="1" operator="equal">
      <formula>$A$43</formula>
    </cfRule>
  </conditionalFormatting>
  <conditionalFormatting sqref="AU25">
    <cfRule type="cellIs" dxfId="587" priority="818" stopIfTrue="1" operator="equal">
      <formula>$A$43</formula>
    </cfRule>
  </conditionalFormatting>
  <conditionalFormatting sqref="AU25">
    <cfRule type="cellIs" dxfId="586" priority="817" stopIfTrue="1" operator="equal">
      <formula>$A$43</formula>
    </cfRule>
  </conditionalFormatting>
  <conditionalFormatting sqref="AW25">
    <cfRule type="cellIs" dxfId="585" priority="816" stopIfTrue="1" operator="equal">
      <formula>$A$43</formula>
    </cfRule>
  </conditionalFormatting>
  <conditionalFormatting sqref="AW25">
    <cfRule type="cellIs" dxfId="584" priority="815" stopIfTrue="1" operator="equal">
      <formula>$A$43</formula>
    </cfRule>
  </conditionalFormatting>
  <conditionalFormatting sqref="AW25">
    <cfRule type="cellIs" dxfId="583" priority="814" stopIfTrue="1" operator="equal">
      <formula>$A$43</formula>
    </cfRule>
  </conditionalFormatting>
  <conditionalFormatting sqref="AW25">
    <cfRule type="cellIs" dxfId="582" priority="813" stopIfTrue="1" operator="equal">
      <formula>$A$43</formula>
    </cfRule>
  </conditionalFormatting>
  <conditionalFormatting sqref="AW25">
    <cfRule type="cellIs" dxfId="581" priority="812" stopIfTrue="1" operator="equal">
      <formula>$A$43</formula>
    </cfRule>
  </conditionalFormatting>
  <conditionalFormatting sqref="AW25">
    <cfRule type="cellIs" dxfId="580" priority="811" stopIfTrue="1" operator="equal">
      <formula>$A$43</formula>
    </cfRule>
  </conditionalFormatting>
  <conditionalFormatting sqref="AW25">
    <cfRule type="cellIs" dxfId="579" priority="810" stopIfTrue="1" operator="equal">
      <formula>$A$43</formula>
    </cfRule>
  </conditionalFormatting>
  <conditionalFormatting sqref="AW25">
    <cfRule type="cellIs" dxfId="578" priority="809" stopIfTrue="1" operator="equal">
      <formula>$A$43</formula>
    </cfRule>
  </conditionalFormatting>
  <conditionalFormatting sqref="AW25">
    <cfRule type="cellIs" dxfId="577" priority="808" stopIfTrue="1" operator="equal">
      <formula>$A$43</formula>
    </cfRule>
  </conditionalFormatting>
  <conditionalFormatting sqref="AW25">
    <cfRule type="cellIs" dxfId="576" priority="807" stopIfTrue="1" operator="equal">
      <formula>$A$43</formula>
    </cfRule>
  </conditionalFormatting>
  <conditionalFormatting sqref="AW25">
    <cfRule type="cellIs" dxfId="575" priority="806" stopIfTrue="1" operator="equal">
      <formula>$A$43</formula>
    </cfRule>
  </conditionalFormatting>
  <conditionalFormatting sqref="AW25">
    <cfRule type="cellIs" dxfId="574" priority="805" stopIfTrue="1" operator="equal">
      <formula>$A$43</formula>
    </cfRule>
  </conditionalFormatting>
  <conditionalFormatting sqref="AU28">
    <cfRule type="cellIs" dxfId="573" priority="708" stopIfTrue="1" operator="equal">
      <formula>$A$43</formula>
    </cfRule>
  </conditionalFormatting>
  <conditionalFormatting sqref="AU28">
    <cfRule type="cellIs" dxfId="572" priority="707" stopIfTrue="1" operator="equal">
      <formula>$A$43</formula>
    </cfRule>
  </conditionalFormatting>
  <conditionalFormatting sqref="AU28">
    <cfRule type="cellIs" dxfId="571" priority="706" stopIfTrue="1" operator="equal">
      <formula>$A$43</formula>
    </cfRule>
  </conditionalFormatting>
  <conditionalFormatting sqref="AU28">
    <cfRule type="cellIs" dxfId="570" priority="705" stopIfTrue="1" operator="equal">
      <formula>$A$43</formula>
    </cfRule>
  </conditionalFormatting>
  <conditionalFormatting sqref="AU28">
    <cfRule type="cellIs" dxfId="569" priority="704" stopIfTrue="1" operator="equal">
      <formula>$A$43</formula>
    </cfRule>
  </conditionalFormatting>
  <conditionalFormatting sqref="AU28">
    <cfRule type="cellIs" dxfId="568" priority="703" stopIfTrue="1" operator="equal">
      <formula>$A$43</formula>
    </cfRule>
  </conditionalFormatting>
  <conditionalFormatting sqref="AU28">
    <cfRule type="cellIs" dxfId="567" priority="702" stopIfTrue="1" operator="equal">
      <formula>$A$43</formula>
    </cfRule>
  </conditionalFormatting>
  <conditionalFormatting sqref="AU28">
    <cfRule type="cellIs" dxfId="566" priority="701" stopIfTrue="1" operator="equal">
      <formula>$A$43</formula>
    </cfRule>
  </conditionalFormatting>
  <conditionalFormatting sqref="AU28">
    <cfRule type="cellIs" dxfId="565" priority="700" stopIfTrue="1" operator="equal">
      <formula>$A$43</formula>
    </cfRule>
  </conditionalFormatting>
  <conditionalFormatting sqref="AU28">
    <cfRule type="cellIs" dxfId="564" priority="699" stopIfTrue="1" operator="equal">
      <formula>$A$43</formula>
    </cfRule>
  </conditionalFormatting>
  <conditionalFormatting sqref="AU28">
    <cfRule type="cellIs" dxfId="563" priority="698" stopIfTrue="1" operator="equal">
      <formula>$A$43</formula>
    </cfRule>
  </conditionalFormatting>
  <conditionalFormatting sqref="AU28">
    <cfRule type="cellIs" dxfId="562" priority="697" stopIfTrue="1" operator="equal">
      <formula>$A$43</formula>
    </cfRule>
  </conditionalFormatting>
  <conditionalFormatting sqref="AW28">
    <cfRule type="cellIs" dxfId="561" priority="696" stopIfTrue="1" operator="equal">
      <formula>$A$43</formula>
    </cfRule>
  </conditionalFormatting>
  <conditionalFormatting sqref="AW28">
    <cfRule type="cellIs" dxfId="560" priority="695" stopIfTrue="1" operator="equal">
      <formula>$A$43</formula>
    </cfRule>
  </conditionalFormatting>
  <conditionalFormatting sqref="AW28">
    <cfRule type="cellIs" dxfId="559" priority="694" stopIfTrue="1" operator="equal">
      <formula>$A$43</formula>
    </cfRule>
  </conditionalFormatting>
  <conditionalFormatting sqref="AW28">
    <cfRule type="cellIs" dxfId="558" priority="693" stopIfTrue="1" operator="equal">
      <formula>$A$43</formula>
    </cfRule>
  </conditionalFormatting>
  <conditionalFormatting sqref="AW28">
    <cfRule type="cellIs" dxfId="557" priority="692" stopIfTrue="1" operator="equal">
      <formula>$A$43</formula>
    </cfRule>
  </conditionalFormatting>
  <conditionalFormatting sqref="AW28">
    <cfRule type="cellIs" dxfId="556" priority="691" stopIfTrue="1" operator="equal">
      <formula>$A$43</formula>
    </cfRule>
  </conditionalFormatting>
  <conditionalFormatting sqref="AW28">
    <cfRule type="cellIs" dxfId="555" priority="690" stopIfTrue="1" operator="equal">
      <formula>$A$43</formula>
    </cfRule>
  </conditionalFormatting>
  <conditionalFormatting sqref="AW28">
    <cfRule type="cellIs" dxfId="554" priority="689" stopIfTrue="1" operator="equal">
      <formula>$A$43</formula>
    </cfRule>
  </conditionalFormatting>
  <conditionalFormatting sqref="AW28">
    <cfRule type="cellIs" dxfId="553" priority="688" stopIfTrue="1" operator="equal">
      <formula>$A$43</formula>
    </cfRule>
  </conditionalFormatting>
  <conditionalFormatting sqref="AW28">
    <cfRule type="cellIs" dxfId="552" priority="687" stopIfTrue="1" operator="equal">
      <formula>$A$43</formula>
    </cfRule>
  </conditionalFormatting>
  <conditionalFormatting sqref="AW28">
    <cfRule type="cellIs" dxfId="551" priority="686" stopIfTrue="1" operator="equal">
      <formula>$A$43</formula>
    </cfRule>
  </conditionalFormatting>
  <conditionalFormatting sqref="AW28">
    <cfRule type="cellIs" dxfId="550" priority="685" stopIfTrue="1" operator="equal">
      <formula>$A$43</formula>
    </cfRule>
  </conditionalFormatting>
  <conditionalFormatting sqref="AU29">
    <cfRule type="cellIs" dxfId="549" priority="684" stopIfTrue="1" operator="equal">
      <formula>$A$43</formula>
    </cfRule>
  </conditionalFormatting>
  <conditionalFormatting sqref="AU29">
    <cfRule type="cellIs" dxfId="548" priority="683" stopIfTrue="1" operator="equal">
      <formula>$A$43</formula>
    </cfRule>
  </conditionalFormatting>
  <conditionalFormatting sqref="AU29">
    <cfRule type="cellIs" dxfId="547" priority="682" stopIfTrue="1" operator="equal">
      <formula>$A$43</formula>
    </cfRule>
  </conditionalFormatting>
  <conditionalFormatting sqref="AU29">
    <cfRule type="cellIs" dxfId="546" priority="681" stopIfTrue="1" operator="equal">
      <formula>$A$43</formula>
    </cfRule>
  </conditionalFormatting>
  <conditionalFormatting sqref="AU29">
    <cfRule type="cellIs" dxfId="545" priority="680" stopIfTrue="1" operator="equal">
      <formula>$A$43</formula>
    </cfRule>
  </conditionalFormatting>
  <conditionalFormatting sqref="AU29">
    <cfRule type="cellIs" dxfId="544" priority="679" stopIfTrue="1" operator="equal">
      <formula>$A$43</formula>
    </cfRule>
  </conditionalFormatting>
  <conditionalFormatting sqref="AU29">
    <cfRule type="cellIs" dxfId="543" priority="678" stopIfTrue="1" operator="equal">
      <formula>$A$43</formula>
    </cfRule>
  </conditionalFormatting>
  <conditionalFormatting sqref="AU29">
    <cfRule type="cellIs" dxfId="542" priority="677" stopIfTrue="1" operator="equal">
      <formula>$A$43</formula>
    </cfRule>
  </conditionalFormatting>
  <conditionalFormatting sqref="AU29">
    <cfRule type="cellIs" dxfId="541" priority="676" stopIfTrue="1" operator="equal">
      <formula>$A$43</formula>
    </cfRule>
  </conditionalFormatting>
  <conditionalFormatting sqref="AU29">
    <cfRule type="cellIs" dxfId="540" priority="675" stopIfTrue="1" operator="equal">
      <formula>$A$43</formula>
    </cfRule>
  </conditionalFormatting>
  <conditionalFormatting sqref="AU29">
    <cfRule type="cellIs" dxfId="539" priority="674" stopIfTrue="1" operator="equal">
      <formula>$A$43</formula>
    </cfRule>
  </conditionalFormatting>
  <conditionalFormatting sqref="AU29">
    <cfRule type="cellIs" dxfId="538" priority="673" stopIfTrue="1" operator="equal">
      <formula>$A$43</formula>
    </cfRule>
  </conditionalFormatting>
  <conditionalFormatting sqref="AW29">
    <cfRule type="cellIs" dxfId="537" priority="672" stopIfTrue="1" operator="equal">
      <formula>$A$43</formula>
    </cfRule>
  </conditionalFormatting>
  <conditionalFormatting sqref="AW29">
    <cfRule type="cellIs" dxfId="536" priority="671" stopIfTrue="1" operator="equal">
      <formula>$A$43</formula>
    </cfRule>
  </conditionalFormatting>
  <conditionalFormatting sqref="AW29">
    <cfRule type="cellIs" dxfId="535" priority="670" stopIfTrue="1" operator="equal">
      <formula>$A$43</formula>
    </cfRule>
  </conditionalFormatting>
  <conditionalFormatting sqref="AW29">
    <cfRule type="cellIs" dxfId="534" priority="669" stopIfTrue="1" operator="equal">
      <formula>$A$43</formula>
    </cfRule>
  </conditionalFormatting>
  <conditionalFormatting sqref="AW29">
    <cfRule type="cellIs" dxfId="533" priority="668" stopIfTrue="1" operator="equal">
      <formula>$A$43</formula>
    </cfRule>
  </conditionalFormatting>
  <conditionalFormatting sqref="AW29">
    <cfRule type="cellIs" dxfId="532" priority="667" stopIfTrue="1" operator="equal">
      <formula>$A$43</formula>
    </cfRule>
  </conditionalFormatting>
  <conditionalFormatting sqref="AW29">
    <cfRule type="cellIs" dxfId="531" priority="666" stopIfTrue="1" operator="equal">
      <formula>$A$43</formula>
    </cfRule>
  </conditionalFormatting>
  <conditionalFormatting sqref="AW29">
    <cfRule type="cellIs" dxfId="530" priority="665" stopIfTrue="1" operator="equal">
      <formula>$A$43</formula>
    </cfRule>
  </conditionalFormatting>
  <conditionalFormatting sqref="AW29">
    <cfRule type="cellIs" dxfId="529" priority="664" stopIfTrue="1" operator="equal">
      <formula>$A$43</formula>
    </cfRule>
  </conditionalFormatting>
  <conditionalFormatting sqref="AW29">
    <cfRule type="cellIs" dxfId="528" priority="663" stopIfTrue="1" operator="equal">
      <formula>$A$43</formula>
    </cfRule>
  </conditionalFormatting>
  <conditionalFormatting sqref="AW29">
    <cfRule type="cellIs" dxfId="527" priority="662" stopIfTrue="1" operator="equal">
      <formula>$A$43</formula>
    </cfRule>
  </conditionalFormatting>
  <conditionalFormatting sqref="AW29">
    <cfRule type="cellIs" dxfId="526" priority="661" stopIfTrue="1" operator="equal">
      <formula>$A$43</formula>
    </cfRule>
  </conditionalFormatting>
  <conditionalFormatting sqref="AS26:AX27">
    <cfRule type="cellIs" dxfId="525" priority="611" stopIfTrue="1" operator="equal">
      <formula>$A$43</formula>
    </cfRule>
  </conditionalFormatting>
  <conditionalFormatting sqref="AS20">
    <cfRule type="cellIs" dxfId="524" priority="610" stopIfTrue="1" operator="equal">
      <formula>$A$42</formula>
    </cfRule>
  </conditionalFormatting>
  <conditionalFormatting sqref="DB20">
    <cfRule type="cellIs" dxfId="523" priority="609" stopIfTrue="1" operator="equal">
      <formula>$A$43</formula>
    </cfRule>
  </conditionalFormatting>
  <conditionalFormatting sqref="DB20">
    <cfRule type="cellIs" dxfId="522" priority="608" stopIfTrue="1" operator="equal">
      <formula>$A$43</formula>
    </cfRule>
  </conditionalFormatting>
  <conditionalFormatting sqref="DB20">
    <cfRule type="cellIs" dxfId="521" priority="607" stopIfTrue="1" operator="equal">
      <formula>$A$43</formula>
    </cfRule>
  </conditionalFormatting>
  <conditionalFormatting sqref="DB20">
    <cfRule type="cellIs" dxfId="520" priority="606" stopIfTrue="1" operator="equal">
      <formula>$A$43</formula>
    </cfRule>
  </conditionalFormatting>
  <conditionalFormatting sqref="DB20">
    <cfRule type="cellIs" dxfId="519" priority="605" stopIfTrue="1" operator="equal">
      <formula>$A$43</formula>
    </cfRule>
  </conditionalFormatting>
  <conditionalFormatting sqref="DB20">
    <cfRule type="cellIs" dxfId="518" priority="604" stopIfTrue="1" operator="equal">
      <formula>$A$43</formula>
    </cfRule>
  </conditionalFormatting>
  <conditionalFormatting sqref="DB20">
    <cfRule type="cellIs" dxfId="517" priority="603" stopIfTrue="1" operator="equal">
      <formula>$A$43</formula>
    </cfRule>
  </conditionalFormatting>
  <conditionalFormatting sqref="DB20">
    <cfRule type="cellIs" dxfId="516" priority="602" stopIfTrue="1" operator="equal">
      <formula>$A$43</formula>
    </cfRule>
  </conditionalFormatting>
  <conditionalFormatting sqref="DB20">
    <cfRule type="cellIs" dxfId="515" priority="601" stopIfTrue="1" operator="equal">
      <formula>$A$43</formula>
    </cfRule>
  </conditionalFormatting>
  <conditionalFormatting sqref="DB20">
    <cfRule type="cellIs" dxfId="514" priority="600" stopIfTrue="1" operator="equal">
      <formula>$A$43</formula>
    </cfRule>
  </conditionalFormatting>
  <conditionalFormatting sqref="DB20">
    <cfRule type="cellIs" dxfId="513" priority="599" stopIfTrue="1" operator="equal">
      <formula>$A$43</formula>
    </cfRule>
  </conditionalFormatting>
  <conditionalFormatting sqref="DB20">
    <cfRule type="cellIs" dxfId="512" priority="598" stopIfTrue="1" operator="equal">
      <formula>$A$43</formula>
    </cfRule>
  </conditionalFormatting>
  <conditionalFormatting sqref="DB20">
    <cfRule type="cellIs" dxfId="511" priority="597" stopIfTrue="1" operator="equal">
      <formula>$A$43</formula>
    </cfRule>
  </conditionalFormatting>
  <conditionalFormatting sqref="DB20">
    <cfRule type="cellIs" dxfId="510" priority="596" stopIfTrue="1" operator="equal">
      <formula>$A$43</formula>
    </cfRule>
  </conditionalFormatting>
  <conditionalFormatting sqref="DB20">
    <cfRule type="cellIs" dxfId="509" priority="595" stopIfTrue="1" operator="equal">
      <formula>$A$43</formula>
    </cfRule>
  </conditionalFormatting>
  <conditionalFormatting sqref="DB20">
    <cfRule type="cellIs" dxfId="508" priority="594" stopIfTrue="1" operator="equal">
      <formula>$A$42</formula>
    </cfRule>
  </conditionalFormatting>
  <conditionalFormatting sqref="DG26:DG27">
    <cfRule type="cellIs" dxfId="507" priority="592" stopIfTrue="1" operator="equal">
      <formula>$A$43</formula>
    </cfRule>
  </conditionalFormatting>
  <conditionalFormatting sqref="DG17">
    <cfRule type="cellIs" dxfId="506" priority="593" stopIfTrue="1" operator="equal">
      <formula>$A$42</formula>
    </cfRule>
  </conditionalFormatting>
  <conditionalFormatting sqref="DG8">
    <cfRule type="cellIs" dxfId="505" priority="590" stopIfTrue="1" operator="equal">
      <formula>$A$43</formula>
    </cfRule>
  </conditionalFormatting>
  <conditionalFormatting sqref="P16:R17">
    <cfRule type="cellIs" dxfId="504" priority="589" stopIfTrue="1" operator="equal">
      <formula>$A$42</formula>
    </cfRule>
  </conditionalFormatting>
  <conditionalFormatting sqref="DH8">
    <cfRule type="cellIs" dxfId="503" priority="588" stopIfTrue="1" operator="equal">
      <formula>$A$43</formula>
    </cfRule>
  </conditionalFormatting>
  <conditionalFormatting sqref="DI8">
    <cfRule type="cellIs" dxfId="502" priority="587" stopIfTrue="1" operator="equal">
      <formula>$A$43</formula>
    </cfRule>
  </conditionalFormatting>
  <conditionalFormatting sqref="DH28:DJ29">
    <cfRule type="cellIs" dxfId="501" priority="584" stopIfTrue="1" operator="equal">
      <formula>$A$43</formula>
    </cfRule>
  </conditionalFormatting>
  <conditionalFormatting sqref="DH26:DJ27">
    <cfRule type="cellIs" dxfId="500" priority="585" stopIfTrue="1" operator="equal">
      <formula>$A$43</formula>
    </cfRule>
  </conditionalFormatting>
  <conditionalFormatting sqref="N20:O20">
    <cfRule type="cellIs" dxfId="499" priority="583" stopIfTrue="1" operator="equal">
      <formula>$A$42</formula>
    </cfRule>
  </conditionalFormatting>
  <conditionalFormatting sqref="DK8">
    <cfRule type="cellIs" dxfId="498" priority="582" stopIfTrue="1" operator="equal">
      <formula>$A$43</formula>
    </cfRule>
  </conditionalFormatting>
  <conditionalFormatting sqref="DK28:DK29">
    <cfRule type="cellIs" dxfId="497" priority="579" stopIfTrue="1" operator="equal">
      <formula>$A$43</formula>
    </cfRule>
  </conditionalFormatting>
  <conditionalFormatting sqref="DK26:DK27">
    <cfRule type="cellIs" dxfId="496" priority="580" stopIfTrue="1" operator="equal">
      <formula>$A$43</formula>
    </cfRule>
  </conditionalFormatting>
  <conditionalFormatting sqref="DL8">
    <cfRule type="cellIs" dxfId="495" priority="578" stopIfTrue="1" operator="equal">
      <formula>$A$43</formula>
    </cfRule>
  </conditionalFormatting>
  <conditionalFormatting sqref="DL28:DL29">
    <cfRule type="cellIs" dxfId="494" priority="575" stopIfTrue="1" operator="equal">
      <formula>$A$43</formula>
    </cfRule>
  </conditionalFormatting>
  <conditionalFormatting sqref="DL26:DL27">
    <cfRule type="cellIs" dxfId="493" priority="576" stopIfTrue="1" operator="equal">
      <formula>$A$43</formula>
    </cfRule>
  </conditionalFormatting>
  <conditionalFormatting sqref="BY12:BZ13">
    <cfRule type="cellIs" dxfId="492" priority="521" stopIfTrue="1" operator="equal">
      <formula>$A$43</formula>
    </cfRule>
  </conditionalFormatting>
  <conditionalFormatting sqref="BY11:BZ11">
    <cfRule type="cellIs" dxfId="491" priority="522" stopIfTrue="1" operator="equal">
      <formula>$A$42</formula>
    </cfRule>
  </conditionalFormatting>
  <conditionalFormatting sqref="BY18:BZ18">
    <cfRule type="cellIs" dxfId="490" priority="519" stopIfTrue="1" operator="equal">
      <formula>$A$43</formula>
    </cfRule>
  </conditionalFormatting>
  <conditionalFormatting sqref="BY17:BZ17">
    <cfRule type="cellIs" dxfId="489" priority="520" stopIfTrue="1" operator="equal">
      <formula>$A$42</formula>
    </cfRule>
  </conditionalFormatting>
  <conditionalFormatting sqref="BY25">
    <cfRule type="cellIs" dxfId="488" priority="517" stopIfTrue="1" operator="equal">
      <formula>$A$43</formula>
    </cfRule>
  </conditionalFormatting>
  <conditionalFormatting sqref="BY28:BY29">
    <cfRule type="cellIs" dxfId="487" priority="516" stopIfTrue="1" operator="equal">
      <formula>$A$43</formula>
    </cfRule>
  </conditionalFormatting>
  <conditionalFormatting sqref="DM1:DU1">
    <cfRule type="cellIs" dxfId="486" priority="514" stopIfTrue="1" operator="equal">
      <formula>$A$43</formula>
    </cfRule>
  </conditionalFormatting>
  <conditionalFormatting sqref="DM1:DU1">
    <cfRule type="cellIs" dxfId="485" priority="513" stopIfTrue="1" operator="equal">
      <formula>$A$43</formula>
    </cfRule>
  </conditionalFormatting>
  <conditionalFormatting sqref="DM1:DU1">
    <cfRule type="cellIs" dxfId="484" priority="512" stopIfTrue="1" operator="equal">
      <formula>$A$43</formula>
    </cfRule>
  </conditionalFormatting>
  <conditionalFormatting sqref="DM8:DU8">
    <cfRule type="cellIs" dxfId="483" priority="511" stopIfTrue="1" operator="equal">
      <formula>$A$43</formula>
    </cfRule>
  </conditionalFormatting>
  <conditionalFormatting sqref="DM26:DU27">
    <cfRule type="cellIs" dxfId="482" priority="510" stopIfTrue="1" operator="equal">
      <formula>$A$43</formula>
    </cfRule>
  </conditionalFormatting>
  <conditionalFormatting sqref="DM25">
    <cfRule type="cellIs" dxfId="481" priority="508" stopIfTrue="1" operator="equal">
      <formula>$A$43</formula>
    </cfRule>
  </conditionalFormatting>
  <conditionalFormatting sqref="DN25">
    <cfRule type="cellIs" dxfId="480" priority="507" stopIfTrue="1" operator="equal">
      <formula>$A$43</formula>
    </cfRule>
  </conditionalFormatting>
  <conditionalFormatting sqref="DO25">
    <cfRule type="cellIs" dxfId="479" priority="506" stopIfTrue="1" operator="equal">
      <formula>$A$43</formula>
    </cfRule>
  </conditionalFormatting>
  <conditionalFormatting sqref="DP25">
    <cfRule type="cellIs" dxfId="478" priority="505" stopIfTrue="1" operator="equal">
      <formula>$A$43</formula>
    </cfRule>
  </conditionalFormatting>
  <conditionalFormatting sqref="DQ25">
    <cfRule type="cellIs" dxfId="477" priority="504" stopIfTrue="1" operator="equal">
      <formula>$A$43</formula>
    </cfRule>
  </conditionalFormatting>
  <conditionalFormatting sqref="DR25">
    <cfRule type="cellIs" dxfId="476" priority="503" stopIfTrue="1" operator="equal">
      <formula>$A$43</formula>
    </cfRule>
  </conditionalFormatting>
  <conditionalFormatting sqref="DS25">
    <cfRule type="cellIs" dxfId="475" priority="502" stopIfTrue="1" operator="equal">
      <formula>$A$43</formula>
    </cfRule>
  </conditionalFormatting>
  <conditionalFormatting sqref="DT25">
    <cfRule type="cellIs" dxfId="474" priority="500" stopIfTrue="1" operator="equal">
      <formula>$A$43</formula>
    </cfRule>
  </conditionalFormatting>
  <conditionalFormatting sqref="DU25">
    <cfRule type="cellIs" dxfId="473" priority="499" stopIfTrue="1" operator="equal">
      <formula>$A$43</formula>
    </cfRule>
  </conditionalFormatting>
  <conditionalFormatting sqref="DV8:DX8">
    <cfRule type="cellIs" dxfId="472" priority="498" stopIfTrue="1" operator="equal">
      <formula>$A$43</formula>
    </cfRule>
  </conditionalFormatting>
  <conditionalFormatting sqref="DV1">
    <cfRule type="cellIs" dxfId="471" priority="497" stopIfTrue="1" operator="equal">
      <formula>$A$43</formula>
    </cfRule>
  </conditionalFormatting>
  <conditionalFormatting sqref="DV1">
    <cfRule type="cellIs" dxfId="470" priority="496" stopIfTrue="1" operator="equal">
      <formula>$A$43</formula>
    </cfRule>
  </conditionalFormatting>
  <conditionalFormatting sqref="DV1">
    <cfRule type="cellIs" dxfId="469" priority="495" stopIfTrue="1" operator="equal">
      <formula>$A$43</formula>
    </cfRule>
  </conditionalFormatting>
  <conditionalFormatting sqref="DV26:DV27">
    <cfRule type="cellIs" dxfId="468" priority="494" stopIfTrue="1" operator="equal">
      <formula>$A$43</formula>
    </cfRule>
  </conditionalFormatting>
  <conditionalFormatting sqref="DV25">
    <cfRule type="cellIs" dxfId="467" priority="492" stopIfTrue="1" operator="equal">
      <formula>$A$43</formula>
    </cfRule>
  </conditionalFormatting>
  <conditionalFormatting sqref="DW1">
    <cfRule type="cellIs" dxfId="466" priority="491" stopIfTrue="1" operator="equal">
      <formula>$A$43</formula>
    </cfRule>
  </conditionalFormatting>
  <conditionalFormatting sqref="DW1">
    <cfRule type="cellIs" dxfId="465" priority="490" stopIfTrue="1" operator="equal">
      <formula>$A$43</formula>
    </cfRule>
  </conditionalFormatting>
  <conditionalFormatting sqref="DW1">
    <cfRule type="cellIs" dxfId="464" priority="489" stopIfTrue="1" operator="equal">
      <formula>$A$43</formula>
    </cfRule>
  </conditionalFormatting>
  <conditionalFormatting sqref="DW26:DW27">
    <cfRule type="cellIs" dxfId="463" priority="488" stopIfTrue="1" operator="equal">
      <formula>$A$43</formula>
    </cfRule>
  </conditionalFormatting>
  <conditionalFormatting sqref="DW25">
    <cfRule type="cellIs" dxfId="462" priority="486" stopIfTrue="1" operator="equal">
      <formula>$A$43</formula>
    </cfRule>
  </conditionalFormatting>
  <conditionalFormatting sqref="DX1">
    <cfRule type="cellIs" dxfId="461" priority="485" stopIfTrue="1" operator="equal">
      <formula>$A$43</formula>
    </cfRule>
  </conditionalFormatting>
  <conditionalFormatting sqref="DX1">
    <cfRule type="cellIs" dxfId="460" priority="484" stopIfTrue="1" operator="equal">
      <formula>$A$43</formula>
    </cfRule>
  </conditionalFormatting>
  <conditionalFormatting sqref="DX1">
    <cfRule type="cellIs" dxfId="459" priority="483" stopIfTrue="1" operator="equal">
      <formula>$A$43</formula>
    </cfRule>
  </conditionalFormatting>
  <conditionalFormatting sqref="DX26:DX27">
    <cfRule type="cellIs" dxfId="458" priority="482" stopIfTrue="1" operator="equal">
      <formula>$A$43</formula>
    </cfRule>
  </conditionalFormatting>
  <conditionalFormatting sqref="DX25">
    <cfRule type="cellIs" dxfId="457" priority="480" stopIfTrue="1" operator="equal">
      <formula>$A$43</formula>
    </cfRule>
  </conditionalFormatting>
  <conditionalFormatting sqref="DY1">
    <cfRule type="cellIs" dxfId="456" priority="479" stopIfTrue="1" operator="equal">
      <formula>$A$43</formula>
    </cfRule>
  </conditionalFormatting>
  <conditionalFormatting sqref="DY1">
    <cfRule type="cellIs" dxfId="455" priority="478" stopIfTrue="1" operator="equal">
      <formula>$A$43</formula>
    </cfRule>
  </conditionalFormatting>
  <conditionalFormatting sqref="DY1">
    <cfRule type="cellIs" dxfId="454" priority="477" stopIfTrue="1" operator="equal">
      <formula>$A$43</formula>
    </cfRule>
  </conditionalFormatting>
  <conditionalFormatting sqref="DY8">
    <cfRule type="cellIs" dxfId="453" priority="476" stopIfTrue="1" operator="equal">
      <formula>$A$43</formula>
    </cfRule>
  </conditionalFormatting>
  <conditionalFormatting sqref="DY26:DY27">
    <cfRule type="cellIs" dxfId="452" priority="475" stopIfTrue="1" operator="equal">
      <formula>$A$43</formula>
    </cfRule>
  </conditionalFormatting>
  <conditionalFormatting sqref="DY25">
    <cfRule type="cellIs" dxfId="451" priority="473" stopIfTrue="1" operator="equal">
      <formula>$A$43</formula>
    </cfRule>
  </conditionalFormatting>
  <conditionalFormatting sqref="DZ8:EA8">
    <cfRule type="cellIs" dxfId="450" priority="472" stopIfTrue="1" operator="equal">
      <formula>$A$43</formula>
    </cfRule>
  </conditionalFormatting>
  <conditionalFormatting sqref="DZ1">
    <cfRule type="cellIs" dxfId="449" priority="471" stopIfTrue="1" operator="equal">
      <formula>$A$43</formula>
    </cfRule>
  </conditionalFormatting>
  <conditionalFormatting sqref="DZ1">
    <cfRule type="cellIs" dxfId="448" priority="470" stopIfTrue="1" operator="equal">
      <formula>$A$43</formula>
    </cfRule>
  </conditionalFormatting>
  <conditionalFormatting sqref="DZ1">
    <cfRule type="cellIs" dxfId="447" priority="469" stopIfTrue="1" operator="equal">
      <formula>$A$43</formula>
    </cfRule>
  </conditionalFormatting>
  <conditionalFormatting sqref="DZ26:DZ27">
    <cfRule type="cellIs" dxfId="446" priority="468" stopIfTrue="1" operator="equal">
      <formula>$A$43</formula>
    </cfRule>
  </conditionalFormatting>
  <conditionalFormatting sqref="DZ25">
    <cfRule type="cellIs" dxfId="445" priority="466" stopIfTrue="1" operator="equal">
      <formula>$A$43</formula>
    </cfRule>
  </conditionalFormatting>
  <conditionalFormatting sqref="EA1">
    <cfRule type="cellIs" dxfId="444" priority="465" stopIfTrue="1" operator="equal">
      <formula>$A$43</formula>
    </cfRule>
  </conditionalFormatting>
  <conditionalFormatting sqref="EA1">
    <cfRule type="cellIs" dxfId="443" priority="464" stopIfTrue="1" operator="equal">
      <formula>$A$43</formula>
    </cfRule>
  </conditionalFormatting>
  <conditionalFormatting sqref="EA1">
    <cfRule type="cellIs" dxfId="442" priority="463" stopIfTrue="1" operator="equal">
      <formula>$A$43</formula>
    </cfRule>
  </conditionalFormatting>
  <conditionalFormatting sqref="EA26:EA27">
    <cfRule type="cellIs" dxfId="441" priority="462" stopIfTrue="1" operator="equal">
      <formula>$A$43</formula>
    </cfRule>
  </conditionalFormatting>
  <conditionalFormatting sqref="EA25">
    <cfRule type="cellIs" dxfId="440" priority="460" stopIfTrue="1" operator="equal">
      <formula>$A$43</formula>
    </cfRule>
  </conditionalFormatting>
  <conditionalFormatting sqref="DM31:EJ31">
    <cfRule type="cellIs" dxfId="439" priority="459" stopIfTrue="1" operator="equal">
      <formula>$A$43</formula>
    </cfRule>
  </conditionalFormatting>
  <conditionalFormatting sqref="DM16:EA22">
    <cfRule type="cellIs" dxfId="438" priority="458" stopIfTrue="1" operator="equal">
      <formula>$A$43</formula>
    </cfRule>
  </conditionalFormatting>
  <conditionalFormatting sqref="DM28:EA29">
    <cfRule type="cellIs" dxfId="437" priority="457" stopIfTrue="1" operator="equal">
      <formula>$A$43</formula>
    </cfRule>
  </conditionalFormatting>
  <conditionalFormatting sqref="DM14:EA15">
    <cfRule type="cellIs" dxfId="436" priority="454" stopIfTrue="1" operator="equal">
      <formula>$A$43</formula>
    </cfRule>
  </conditionalFormatting>
  <conditionalFormatting sqref="DM24:EA24">
    <cfRule type="cellIs" dxfId="435" priority="453" stopIfTrue="1" operator="equal">
      <formula>$A$43</formula>
    </cfRule>
  </conditionalFormatting>
  <conditionalFormatting sqref="DM30:EA30">
    <cfRule type="cellIs" dxfId="434" priority="452" stopIfTrue="1" operator="equal">
      <formula>$A$43</formula>
    </cfRule>
  </conditionalFormatting>
  <conditionalFormatting sqref="EB8:EJ8">
    <cfRule type="cellIs" dxfId="433" priority="448" stopIfTrue="1" operator="equal">
      <formula>$A$43</formula>
    </cfRule>
  </conditionalFormatting>
  <conditionalFormatting sqref="EB14:EG15">
    <cfRule type="cellIs" dxfId="432" priority="447" stopIfTrue="1" operator="equal">
      <formula>$A$43</formula>
    </cfRule>
  </conditionalFormatting>
  <conditionalFormatting sqref="EB9:EG9">
    <cfRule type="cellIs" dxfId="431" priority="444" stopIfTrue="1" operator="equal">
      <formula>$A$43</formula>
    </cfRule>
  </conditionalFormatting>
  <conditionalFormatting sqref="EB26:EG27">
    <cfRule type="cellIs" dxfId="430" priority="445" stopIfTrue="1" operator="equal">
      <formula>$A$43</formula>
    </cfRule>
  </conditionalFormatting>
  <conditionalFormatting sqref="EB28:EG29">
    <cfRule type="cellIs" dxfId="429" priority="442" stopIfTrue="1" operator="equal">
      <formula>$A$43</formula>
    </cfRule>
  </conditionalFormatting>
  <conditionalFormatting sqref="EB30:EG30">
    <cfRule type="cellIs" dxfId="428" priority="439" stopIfTrue="1" operator="equal">
      <formula>$A$43</formula>
    </cfRule>
  </conditionalFormatting>
  <conditionalFormatting sqref="EB25:EG25">
    <cfRule type="cellIs" dxfId="427" priority="435" stopIfTrue="1" operator="equal">
      <formula>$A$43</formula>
    </cfRule>
  </conditionalFormatting>
  <conditionalFormatting sqref="EH14:EJ15">
    <cfRule type="cellIs" dxfId="426" priority="434" stopIfTrue="1" operator="equal">
      <formula>$A$43</formula>
    </cfRule>
  </conditionalFormatting>
  <conditionalFormatting sqref="EH9:EJ9">
    <cfRule type="cellIs" dxfId="425" priority="431" stopIfTrue="1" operator="equal">
      <formula>$A$43</formula>
    </cfRule>
  </conditionalFormatting>
  <conditionalFormatting sqref="EH26:EJ27">
    <cfRule type="cellIs" dxfId="424" priority="432" stopIfTrue="1" operator="equal">
      <formula>$A$43</formula>
    </cfRule>
  </conditionalFormatting>
  <conditionalFormatting sqref="EH28:EJ29">
    <cfRule type="cellIs" dxfId="423" priority="429" stopIfTrue="1" operator="equal">
      <formula>$A$43</formula>
    </cfRule>
  </conditionalFormatting>
  <conditionalFormatting sqref="EH30:EJ30">
    <cfRule type="cellIs" dxfId="422" priority="426" stopIfTrue="1" operator="equal">
      <formula>$A$43</formula>
    </cfRule>
  </conditionalFormatting>
  <conditionalFormatting sqref="EH25:EJ25">
    <cfRule type="cellIs" dxfId="421" priority="422" stopIfTrue="1" operator="equal">
      <formula>$A$43</formula>
    </cfRule>
  </conditionalFormatting>
  <conditionalFormatting sqref="EK23:EN23">
    <cfRule type="cellIs" dxfId="420" priority="421" stopIfTrue="1" operator="equal">
      <formula>$A$43</formula>
    </cfRule>
  </conditionalFormatting>
  <conditionalFormatting sqref="EK31:EN31">
    <cfRule type="cellIs" dxfId="419" priority="420" stopIfTrue="1" operator="equal">
      <formula>$A$43</formula>
    </cfRule>
  </conditionalFormatting>
  <conditionalFormatting sqref="EK8">
    <cfRule type="cellIs" dxfId="418" priority="419" stopIfTrue="1" operator="equal">
      <formula>$A$43</formula>
    </cfRule>
  </conditionalFormatting>
  <conditionalFormatting sqref="EK14:EK15">
    <cfRule type="cellIs" dxfId="417" priority="418" stopIfTrue="1" operator="equal">
      <formula>$A$43</formula>
    </cfRule>
  </conditionalFormatting>
  <conditionalFormatting sqref="EK9">
    <cfRule type="cellIs" dxfId="416" priority="415" stopIfTrue="1" operator="equal">
      <formula>$A$43</formula>
    </cfRule>
  </conditionalFormatting>
  <conditionalFormatting sqref="EK26:EK27">
    <cfRule type="cellIs" dxfId="415" priority="416" stopIfTrue="1" operator="equal">
      <formula>$A$43</formula>
    </cfRule>
  </conditionalFormatting>
  <conditionalFormatting sqref="EK28:EK29">
    <cfRule type="cellIs" dxfId="414" priority="413" stopIfTrue="1" operator="equal">
      <formula>$A$43</formula>
    </cfRule>
  </conditionalFormatting>
  <conditionalFormatting sqref="EK30">
    <cfRule type="cellIs" dxfId="413" priority="410" stopIfTrue="1" operator="equal">
      <formula>$A$43</formula>
    </cfRule>
  </conditionalFormatting>
  <conditionalFormatting sqref="EK25">
    <cfRule type="cellIs" dxfId="412" priority="406" stopIfTrue="1" operator="equal">
      <formula>$A$43</formula>
    </cfRule>
  </conditionalFormatting>
  <conditionalFormatting sqref="EL17:EL21">
    <cfRule type="cellIs" dxfId="411" priority="399" stopIfTrue="1" operator="equal">
      <formula>$A$43</formula>
    </cfRule>
  </conditionalFormatting>
  <conditionalFormatting sqref="EL24">
    <cfRule type="cellIs" dxfId="410" priority="400" stopIfTrue="1" operator="equal">
      <formula>$A$43</formula>
    </cfRule>
  </conditionalFormatting>
  <conditionalFormatting sqref="EL8">
    <cfRule type="cellIs" dxfId="409" priority="398" stopIfTrue="1" operator="equal">
      <formula>$A$43</formula>
    </cfRule>
  </conditionalFormatting>
  <conditionalFormatting sqref="EL14:EL15">
    <cfRule type="cellIs" dxfId="408" priority="397" stopIfTrue="1" operator="equal">
      <formula>$A$43</formula>
    </cfRule>
  </conditionalFormatting>
  <conditionalFormatting sqref="EL9">
    <cfRule type="cellIs" dxfId="407" priority="394" stopIfTrue="1" operator="equal">
      <formula>$A$43</formula>
    </cfRule>
  </conditionalFormatting>
  <conditionalFormatting sqref="EL26:EL27">
    <cfRule type="cellIs" dxfId="406" priority="395" stopIfTrue="1" operator="equal">
      <formula>$A$43</formula>
    </cfRule>
  </conditionalFormatting>
  <conditionalFormatting sqref="EL28:EL29">
    <cfRule type="cellIs" dxfId="405" priority="392" stopIfTrue="1" operator="equal">
      <formula>$A$43</formula>
    </cfRule>
  </conditionalFormatting>
  <conditionalFormatting sqref="EL30">
    <cfRule type="cellIs" dxfId="404" priority="389" stopIfTrue="1" operator="equal">
      <formula>$A$43</formula>
    </cfRule>
  </conditionalFormatting>
  <conditionalFormatting sqref="EL25">
    <cfRule type="cellIs" dxfId="403" priority="385" stopIfTrue="1" operator="equal">
      <formula>$A$43</formula>
    </cfRule>
  </conditionalFormatting>
  <conditionalFormatting sqref="EL16">
    <cfRule type="cellIs" dxfId="402" priority="384" stopIfTrue="1" operator="equal">
      <formula>$A$43</formula>
    </cfRule>
  </conditionalFormatting>
  <conditionalFormatting sqref="EL22">
    <cfRule type="cellIs" dxfId="401" priority="383" stopIfTrue="1" operator="equal">
      <formula>$A$43</formula>
    </cfRule>
  </conditionalFormatting>
  <conditionalFormatting sqref="EM17:EM21">
    <cfRule type="cellIs" dxfId="400" priority="381" stopIfTrue="1" operator="equal">
      <formula>$A$43</formula>
    </cfRule>
  </conditionalFormatting>
  <conditionalFormatting sqref="EM24">
    <cfRule type="cellIs" dxfId="399" priority="382" stopIfTrue="1" operator="equal">
      <formula>$A$43</formula>
    </cfRule>
  </conditionalFormatting>
  <conditionalFormatting sqref="EM8">
    <cfRule type="cellIs" dxfId="398" priority="380" stopIfTrue="1" operator="equal">
      <formula>$A$43</formula>
    </cfRule>
  </conditionalFormatting>
  <conditionalFormatting sqref="EM15">
    <cfRule type="cellIs" dxfId="397" priority="379" stopIfTrue="1" operator="equal">
      <formula>$A$43</formula>
    </cfRule>
  </conditionalFormatting>
  <conditionalFormatting sqref="EM9">
    <cfRule type="cellIs" dxfId="396" priority="376" stopIfTrue="1" operator="equal">
      <formula>$A$43</formula>
    </cfRule>
  </conditionalFormatting>
  <conditionalFormatting sqref="EM26:EM27">
    <cfRule type="cellIs" dxfId="395" priority="377" stopIfTrue="1" operator="equal">
      <formula>$A$43</formula>
    </cfRule>
  </conditionalFormatting>
  <conditionalFormatting sqref="EM28:EM29">
    <cfRule type="cellIs" dxfId="394" priority="374" stopIfTrue="1" operator="equal">
      <formula>$A$43</formula>
    </cfRule>
  </conditionalFormatting>
  <conditionalFormatting sqref="EM30">
    <cfRule type="cellIs" dxfId="393" priority="371" stopIfTrue="1" operator="equal">
      <formula>$A$43</formula>
    </cfRule>
  </conditionalFormatting>
  <conditionalFormatting sqref="EM25">
    <cfRule type="cellIs" dxfId="392" priority="367" stopIfTrue="1" operator="equal">
      <formula>$A$43</formula>
    </cfRule>
  </conditionalFormatting>
  <conditionalFormatting sqref="EM16">
    <cfRule type="cellIs" dxfId="391" priority="366" stopIfTrue="1" operator="equal">
      <formula>$A$43</formula>
    </cfRule>
  </conditionalFormatting>
  <conditionalFormatting sqref="EM22">
    <cfRule type="cellIs" dxfId="390" priority="365" stopIfTrue="1" operator="equal">
      <formula>$A$43</formula>
    </cfRule>
  </conditionalFormatting>
  <conditionalFormatting sqref="EN17:EN21">
    <cfRule type="cellIs" dxfId="389" priority="363" stopIfTrue="1" operator="equal">
      <formula>$A$43</formula>
    </cfRule>
  </conditionalFormatting>
  <conditionalFormatting sqref="EN24">
    <cfRule type="cellIs" dxfId="388" priority="364" stopIfTrue="1" operator="equal">
      <formula>$A$43</formula>
    </cfRule>
  </conditionalFormatting>
  <conditionalFormatting sqref="EN8">
    <cfRule type="cellIs" dxfId="387" priority="362" stopIfTrue="1" operator="equal">
      <formula>$A$43</formula>
    </cfRule>
  </conditionalFormatting>
  <conditionalFormatting sqref="EN15">
    <cfRule type="cellIs" dxfId="386" priority="361" stopIfTrue="1" operator="equal">
      <formula>$A$43</formula>
    </cfRule>
  </conditionalFormatting>
  <conditionalFormatting sqref="EN9">
    <cfRule type="cellIs" dxfId="385" priority="358" stopIfTrue="1" operator="equal">
      <formula>$A$43</formula>
    </cfRule>
  </conditionalFormatting>
  <conditionalFormatting sqref="EN26:EN27">
    <cfRule type="cellIs" dxfId="384" priority="359" stopIfTrue="1" operator="equal">
      <formula>$A$43</formula>
    </cfRule>
  </conditionalFormatting>
  <conditionalFormatting sqref="EN28:EN29">
    <cfRule type="cellIs" dxfId="383" priority="356" stopIfTrue="1" operator="equal">
      <formula>$A$43</formula>
    </cfRule>
  </conditionalFormatting>
  <conditionalFormatting sqref="EN30">
    <cfRule type="cellIs" dxfId="382" priority="353" stopIfTrue="1" operator="equal">
      <formula>$A$43</formula>
    </cfRule>
  </conditionalFormatting>
  <conditionalFormatting sqref="EN25">
    <cfRule type="cellIs" dxfId="381" priority="349" stopIfTrue="1" operator="equal">
      <formula>$A$43</formula>
    </cfRule>
  </conditionalFormatting>
  <conditionalFormatting sqref="EN16">
    <cfRule type="cellIs" dxfId="380" priority="348" stopIfTrue="1" operator="equal">
      <formula>$A$43</formula>
    </cfRule>
  </conditionalFormatting>
  <conditionalFormatting sqref="EN22">
    <cfRule type="cellIs" dxfId="379" priority="347" stopIfTrue="1" operator="equal">
      <formula>$A$43</formula>
    </cfRule>
  </conditionalFormatting>
  <conditionalFormatting sqref="EO25">
    <cfRule type="cellIs" dxfId="378" priority="284" stopIfTrue="1" operator="equal">
      <formula>$A$43</formula>
    </cfRule>
  </conditionalFormatting>
  <conditionalFormatting sqref="EO26:EO27">
    <cfRule type="cellIs" dxfId="377" priority="285" stopIfTrue="1" operator="equal">
      <formula>$A$43</formula>
    </cfRule>
  </conditionalFormatting>
  <conditionalFormatting sqref="EO26:EO27">
    <cfRule type="cellIs" dxfId="376" priority="283" stopIfTrue="1" operator="equal">
      <formula>$A$43</formula>
    </cfRule>
  </conditionalFormatting>
  <conditionalFormatting sqref="EO13">
    <cfRule type="cellIs" dxfId="375" priority="282" stopIfTrue="1" operator="equal">
      <formula>$A$43</formula>
    </cfRule>
  </conditionalFormatting>
  <conditionalFormatting sqref="EO13">
    <cfRule type="cellIs" dxfId="374" priority="281" stopIfTrue="1" operator="equal">
      <formula>$A$43</formula>
    </cfRule>
  </conditionalFormatting>
  <conditionalFormatting sqref="EO13">
    <cfRule type="cellIs" dxfId="373" priority="280" stopIfTrue="1" operator="equal">
      <formula>$A$43</formula>
    </cfRule>
  </conditionalFormatting>
  <conditionalFormatting sqref="EO13">
    <cfRule type="cellIs" dxfId="372" priority="279" stopIfTrue="1" operator="equal">
      <formula>$A$43</formula>
    </cfRule>
  </conditionalFormatting>
  <conditionalFormatting sqref="EO13">
    <cfRule type="cellIs" dxfId="371" priority="278" stopIfTrue="1" operator="equal">
      <formula>$A$43</formula>
    </cfRule>
  </conditionalFormatting>
  <conditionalFormatting sqref="EO13">
    <cfRule type="cellIs" dxfId="370" priority="277" stopIfTrue="1" operator="equal">
      <formula>$A$43</formula>
    </cfRule>
  </conditionalFormatting>
  <conditionalFormatting sqref="EO17">
    <cfRule type="cellIs" dxfId="369" priority="276" stopIfTrue="1" operator="equal">
      <formula>$A$42</formula>
    </cfRule>
  </conditionalFormatting>
  <conditionalFormatting sqref="EO16">
    <cfRule type="cellIs" dxfId="368" priority="275" stopIfTrue="1" operator="equal">
      <formula>$A$42</formula>
    </cfRule>
  </conditionalFormatting>
  <conditionalFormatting sqref="EO20">
    <cfRule type="cellIs" dxfId="367" priority="274" stopIfTrue="1" operator="equal">
      <formula>$A$43</formula>
    </cfRule>
  </conditionalFormatting>
  <conditionalFormatting sqref="EO20">
    <cfRule type="cellIs" dxfId="366" priority="273" stopIfTrue="1" operator="equal">
      <formula>$A$43</formula>
    </cfRule>
  </conditionalFormatting>
  <conditionalFormatting sqref="EO20">
    <cfRule type="cellIs" dxfId="365" priority="272" stopIfTrue="1" operator="equal">
      <formula>$A$43</formula>
    </cfRule>
  </conditionalFormatting>
  <conditionalFormatting sqref="EO20">
    <cfRule type="cellIs" dxfId="364" priority="271" stopIfTrue="1" operator="equal">
      <formula>$A$43</formula>
    </cfRule>
  </conditionalFormatting>
  <conditionalFormatting sqref="EO20">
    <cfRule type="cellIs" dxfId="363" priority="270" stopIfTrue="1" operator="equal">
      <formula>$A$43</formula>
    </cfRule>
  </conditionalFormatting>
  <conditionalFormatting sqref="EO20">
    <cfRule type="cellIs" dxfId="362" priority="269" stopIfTrue="1" operator="equal">
      <formula>$A$43</formula>
    </cfRule>
  </conditionalFormatting>
  <conditionalFormatting sqref="EO20">
    <cfRule type="cellIs" dxfId="361" priority="268" stopIfTrue="1" operator="equal">
      <formula>$A$43</formula>
    </cfRule>
  </conditionalFormatting>
  <conditionalFormatting sqref="EO20">
    <cfRule type="cellIs" dxfId="360" priority="267" stopIfTrue="1" operator="equal">
      <formula>$A$43</formula>
    </cfRule>
  </conditionalFormatting>
  <conditionalFormatting sqref="EO20">
    <cfRule type="cellIs" dxfId="359" priority="266" stopIfTrue="1" operator="equal">
      <formula>$A$43</formula>
    </cfRule>
  </conditionalFormatting>
  <conditionalFormatting sqref="EO20">
    <cfRule type="cellIs" dxfId="358" priority="265" stopIfTrue="1" operator="equal">
      <formula>$A$43</formula>
    </cfRule>
  </conditionalFormatting>
  <conditionalFormatting sqref="EO20">
    <cfRule type="cellIs" dxfId="357" priority="264" stopIfTrue="1" operator="equal">
      <formula>$A$43</formula>
    </cfRule>
  </conditionalFormatting>
  <conditionalFormatting sqref="EO20">
    <cfRule type="cellIs" dxfId="356" priority="263" stopIfTrue="1" operator="equal">
      <formula>$A$43</formula>
    </cfRule>
  </conditionalFormatting>
  <conditionalFormatting sqref="EO20">
    <cfRule type="cellIs" dxfId="355" priority="262" stopIfTrue="1" operator="equal">
      <formula>$A$43</formula>
    </cfRule>
  </conditionalFormatting>
  <conditionalFormatting sqref="EO20">
    <cfRule type="cellIs" dxfId="354" priority="261" stopIfTrue="1" operator="equal">
      <formula>$A$43</formula>
    </cfRule>
  </conditionalFormatting>
  <conditionalFormatting sqref="EO20">
    <cfRule type="cellIs" dxfId="353" priority="260" stopIfTrue="1" operator="equal">
      <formula>$A$43</formula>
    </cfRule>
  </conditionalFormatting>
  <conditionalFormatting sqref="EO20">
    <cfRule type="cellIs" dxfId="352" priority="259" stopIfTrue="1" operator="equal">
      <formula>$A$43</formula>
    </cfRule>
  </conditionalFormatting>
  <conditionalFormatting sqref="EO20">
    <cfRule type="cellIs" dxfId="351" priority="258" stopIfTrue="1" operator="equal">
      <formula>$A$43</formula>
    </cfRule>
  </conditionalFormatting>
  <conditionalFormatting sqref="EO20">
    <cfRule type="cellIs" dxfId="350" priority="257" stopIfTrue="1" operator="equal">
      <formula>$A$43</formula>
    </cfRule>
  </conditionalFormatting>
  <conditionalFormatting sqref="EO20">
    <cfRule type="cellIs" dxfId="349" priority="256" stopIfTrue="1" operator="equal">
      <formula>$A$43</formula>
    </cfRule>
  </conditionalFormatting>
  <conditionalFormatting sqref="EO20">
    <cfRule type="cellIs" dxfId="348" priority="255" stopIfTrue="1" operator="equal">
      <formula>$A$43</formula>
    </cfRule>
  </conditionalFormatting>
  <conditionalFormatting sqref="EO20">
    <cfRule type="cellIs" dxfId="347" priority="254" stopIfTrue="1" operator="equal">
      <formula>$A$43</formula>
    </cfRule>
  </conditionalFormatting>
  <conditionalFormatting sqref="EO20">
    <cfRule type="cellIs" dxfId="346" priority="253" stopIfTrue="1" operator="equal">
      <formula>$A$43</formula>
    </cfRule>
  </conditionalFormatting>
  <conditionalFormatting sqref="EO20">
    <cfRule type="cellIs" dxfId="345" priority="252" stopIfTrue="1" operator="equal">
      <formula>$A$43</formula>
    </cfRule>
  </conditionalFormatting>
  <conditionalFormatting sqref="EO20">
    <cfRule type="cellIs" dxfId="344" priority="251" stopIfTrue="1" operator="equal">
      <formula>$A$43</formula>
    </cfRule>
  </conditionalFormatting>
  <conditionalFormatting sqref="EO20">
    <cfRule type="cellIs" dxfId="343" priority="250" stopIfTrue="1" operator="equal">
      <formula>$A$43</formula>
    </cfRule>
  </conditionalFormatting>
  <conditionalFormatting sqref="EO20">
    <cfRule type="cellIs" dxfId="342" priority="249" stopIfTrue="1" operator="equal">
      <formula>$A$43</formula>
    </cfRule>
  </conditionalFormatting>
  <conditionalFormatting sqref="EO20">
    <cfRule type="cellIs" dxfId="341" priority="248" stopIfTrue="1" operator="equal">
      <formula>$A$43</formula>
    </cfRule>
  </conditionalFormatting>
  <conditionalFormatting sqref="EO20">
    <cfRule type="cellIs" dxfId="340" priority="247" stopIfTrue="1" operator="equal">
      <formula>$A$43</formula>
    </cfRule>
  </conditionalFormatting>
  <conditionalFormatting sqref="EO20">
    <cfRule type="cellIs" dxfId="339" priority="246" stopIfTrue="1" operator="equal">
      <formula>$A$43</formula>
    </cfRule>
  </conditionalFormatting>
  <conditionalFormatting sqref="EO20">
    <cfRule type="cellIs" dxfId="338" priority="245" stopIfTrue="1" operator="equal">
      <formula>$A$43</formula>
    </cfRule>
  </conditionalFormatting>
  <conditionalFormatting sqref="EO20">
    <cfRule type="cellIs" dxfId="337" priority="244" stopIfTrue="1" operator="equal">
      <formula>$A$42</formula>
    </cfRule>
  </conditionalFormatting>
  <conditionalFormatting sqref="EO31">
    <cfRule type="cellIs" dxfId="336" priority="240" stopIfTrue="1" operator="equal">
      <formula>$A$43</formula>
    </cfRule>
  </conditionalFormatting>
  <conditionalFormatting sqref="EO14">
    <cfRule type="cellIs" dxfId="335" priority="239" stopIfTrue="1" operator="equal">
      <formula>$A$43</formula>
    </cfRule>
  </conditionalFormatting>
  <conditionalFormatting sqref="EO23">
    <cfRule type="cellIs" dxfId="334" priority="238" stopIfTrue="1" operator="equal">
      <formula>$A$43</formula>
    </cfRule>
  </conditionalFormatting>
  <conditionalFormatting sqref="EP25">
    <cfRule type="cellIs" dxfId="333" priority="235" stopIfTrue="1" operator="equal">
      <formula>$A$43</formula>
    </cfRule>
  </conditionalFormatting>
  <conditionalFormatting sqref="EP26:EP27">
    <cfRule type="cellIs" dxfId="332" priority="236" stopIfTrue="1" operator="equal">
      <formula>$A$43</formula>
    </cfRule>
  </conditionalFormatting>
  <conditionalFormatting sqref="EP26:EP27">
    <cfRule type="cellIs" dxfId="331" priority="234" stopIfTrue="1" operator="equal">
      <formula>$A$43</formula>
    </cfRule>
  </conditionalFormatting>
  <conditionalFormatting sqref="EP13">
    <cfRule type="cellIs" dxfId="330" priority="233" stopIfTrue="1" operator="equal">
      <formula>$A$43</formula>
    </cfRule>
  </conditionalFormatting>
  <conditionalFormatting sqref="EP13">
    <cfRule type="cellIs" dxfId="329" priority="232" stopIfTrue="1" operator="equal">
      <formula>$A$43</formula>
    </cfRule>
  </conditionalFormatting>
  <conditionalFormatting sqref="EP13">
    <cfRule type="cellIs" dxfId="328" priority="231" stopIfTrue="1" operator="equal">
      <formula>$A$43</formula>
    </cfRule>
  </conditionalFormatting>
  <conditionalFormatting sqref="EP13">
    <cfRule type="cellIs" dxfId="327" priority="230" stopIfTrue="1" operator="equal">
      <formula>$A$43</formula>
    </cfRule>
  </conditionalFormatting>
  <conditionalFormatting sqref="EP13">
    <cfRule type="cellIs" dxfId="326" priority="229" stopIfTrue="1" operator="equal">
      <formula>$A$43</formula>
    </cfRule>
  </conditionalFormatting>
  <conditionalFormatting sqref="EP13">
    <cfRule type="cellIs" dxfId="325" priority="228" stopIfTrue="1" operator="equal">
      <formula>$A$43</formula>
    </cfRule>
  </conditionalFormatting>
  <conditionalFormatting sqref="EP17">
    <cfRule type="cellIs" dxfId="324" priority="227" stopIfTrue="1" operator="equal">
      <formula>$A$42</formula>
    </cfRule>
  </conditionalFormatting>
  <conditionalFormatting sqref="EP16">
    <cfRule type="cellIs" dxfId="323" priority="226" stopIfTrue="1" operator="equal">
      <formula>$A$42</formula>
    </cfRule>
  </conditionalFormatting>
  <conditionalFormatting sqref="EP20">
    <cfRule type="cellIs" dxfId="322" priority="225" stopIfTrue="1" operator="equal">
      <formula>$A$43</formula>
    </cfRule>
  </conditionalFormatting>
  <conditionalFormatting sqref="EP20">
    <cfRule type="cellIs" dxfId="321" priority="224" stopIfTrue="1" operator="equal">
      <formula>$A$43</formula>
    </cfRule>
  </conditionalFormatting>
  <conditionalFormatting sqref="EP20">
    <cfRule type="cellIs" dxfId="320" priority="223" stopIfTrue="1" operator="equal">
      <formula>$A$43</formula>
    </cfRule>
  </conditionalFormatting>
  <conditionalFormatting sqref="EP20">
    <cfRule type="cellIs" dxfId="319" priority="222" stopIfTrue="1" operator="equal">
      <formula>$A$43</formula>
    </cfRule>
  </conditionalFormatting>
  <conditionalFormatting sqref="EP20">
    <cfRule type="cellIs" dxfId="318" priority="221" stopIfTrue="1" operator="equal">
      <formula>$A$43</formula>
    </cfRule>
  </conditionalFormatting>
  <conditionalFormatting sqref="EP20">
    <cfRule type="cellIs" dxfId="317" priority="220" stopIfTrue="1" operator="equal">
      <formula>$A$43</formula>
    </cfRule>
  </conditionalFormatting>
  <conditionalFormatting sqref="EP20">
    <cfRule type="cellIs" dxfId="316" priority="219" stopIfTrue="1" operator="equal">
      <formula>$A$43</formula>
    </cfRule>
  </conditionalFormatting>
  <conditionalFormatting sqref="EP20">
    <cfRule type="cellIs" dxfId="315" priority="218" stopIfTrue="1" operator="equal">
      <formula>$A$43</formula>
    </cfRule>
  </conditionalFormatting>
  <conditionalFormatting sqref="EP20">
    <cfRule type="cellIs" dxfId="314" priority="217" stopIfTrue="1" operator="equal">
      <formula>$A$43</formula>
    </cfRule>
  </conditionalFormatting>
  <conditionalFormatting sqref="EP20">
    <cfRule type="cellIs" dxfId="313" priority="216" stopIfTrue="1" operator="equal">
      <formula>$A$43</formula>
    </cfRule>
  </conditionalFormatting>
  <conditionalFormatting sqref="EP20">
    <cfRule type="cellIs" dxfId="312" priority="215" stopIfTrue="1" operator="equal">
      <formula>$A$43</formula>
    </cfRule>
  </conditionalFormatting>
  <conditionalFormatting sqref="EP20">
    <cfRule type="cellIs" dxfId="311" priority="214" stopIfTrue="1" operator="equal">
      <formula>$A$43</formula>
    </cfRule>
  </conditionalFormatting>
  <conditionalFormatting sqref="EP20">
    <cfRule type="cellIs" dxfId="310" priority="213" stopIfTrue="1" operator="equal">
      <formula>$A$43</formula>
    </cfRule>
  </conditionalFormatting>
  <conditionalFormatting sqref="EP20">
    <cfRule type="cellIs" dxfId="309" priority="212" stopIfTrue="1" operator="equal">
      <formula>$A$43</formula>
    </cfRule>
  </conditionalFormatting>
  <conditionalFormatting sqref="EP20">
    <cfRule type="cellIs" dxfId="308" priority="211" stopIfTrue="1" operator="equal">
      <formula>$A$43</formula>
    </cfRule>
  </conditionalFormatting>
  <conditionalFormatting sqref="EP20">
    <cfRule type="cellIs" dxfId="307" priority="210" stopIfTrue="1" operator="equal">
      <formula>$A$43</formula>
    </cfRule>
  </conditionalFormatting>
  <conditionalFormatting sqref="EP20">
    <cfRule type="cellIs" dxfId="306" priority="209" stopIfTrue="1" operator="equal">
      <formula>$A$43</formula>
    </cfRule>
  </conditionalFormatting>
  <conditionalFormatting sqref="EP20">
    <cfRule type="cellIs" dxfId="305" priority="208" stopIfTrue="1" operator="equal">
      <formula>$A$43</formula>
    </cfRule>
  </conditionalFormatting>
  <conditionalFormatting sqref="EP20">
    <cfRule type="cellIs" dxfId="304" priority="207" stopIfTrue="1" operator="equal">
      <formula>$A$43</formula>
    </cfRule>
  </conditionalFormatting>
  <conditionalFormatting sqref="EP20">
    <cfRule type="cellIs" dxfId="303" priority="206" stopIfTrue="1" operator="equal">
      <formula>$A$43</formula>
    </cfRule>
  </conditionalFormatting>
  <conditionalFormatting sqref="EP20">
    <cfRule type="cellIs" dxfId="302" priority="205" stopIfTrue="1" operator="equal">
      <formula>$A$43</formula>
    </cfRule>
  </conditionalFormatting>
  <conditionalFormatting sqref="EP20">
    <cfRule type="cellIs" dxfId="301" priority="204" stopIfTrue="1" operator="equal">
      <formula>$A$43</formula>
    </cfRule>
  </conditionalFormatting>
  <conditionalFormatting sqref="EP20">
    <cfRule type="cellIs" dxfId="300" priority="203" stopIfTrue="1" operator="equal">
      <formula>$A$43</formula>
    </cfRule>
  </conditionalFormatting>
  <conditionalFormatting sqref="EP20">
    <cfRule type="cellIs" dxfId="299" priority="202" stopIfTrue="1" operator="equal">
      <formula>$A$43</formula>
    </cfRule>
  </conditionalFormatting>
  <conditionalFormatting sqref="EP20">
    <cfRule type="cellIs" dxfId="298" priority="201" stopIfTrue="1" operator="equal">
      <formula>$A$43</formula>
    </cfRule>
  </conditionalFormatting>
  <conditionalFormatting sqref="EP20">
    <cfRule type="cellIs" dxfId="297" priority="200" stopIfTrue="1" operator="equal">
      <formula>$A$43</formula>
    </cfRule>
  </conditionalFormatting>
  <conditionalFormatting sqref="EP20">
    <cfRule type="cellIs" dxfId="296" priority="199" stopIfTrue="1" operator="equal">
      <formula>$A$43</formula>
    </cfRule>
  </conditionalFormatting>
  <conditionalFormatting sqref="EP20">
    <cfRule type="cellIs" dxfId="295" priority="198" stopIfTrue="1" operator="equal">
      <formula>$A$43</formula>
    </cfRule>
  </conditionalFormatting>
  <conditionalFormatting sqref="EP20">
    <cfRule type="cellIs" dxfId="294" priority="197" stopIfTrue="1" operator="equal">
      <formula>$A$43</formula>
    </cfRule>
  </conditionalFormatting>
  <conditionalFormatting sqref="EP20">
    <cfRule type="cellIs" dxfId="293" priority="196" stopIfTrue="1" operator="equal">
      <formula>$A$43</formula>
    </cfRule>
  </conditionalFormatting>
  <conditionalFormatting sqref="EP20">
    <cfRule type="cellIs" dxfId="292" priority="195" stopIfTrue="1" operator="equal">
      <formula>$A$42</formula>
    </cfRule>
  </conditionalFormatting>
  <conditionalFormatting sqref="EP31">
    <cfRule type="cellIs" dxfId="291" priority="191" stopIfTrue="1" operator="equal">
      <formula>$A$43</formula>
    </cfRule>
  </conditionalFormatting>
  <conditionalFormatting sqref="EP14">
    <cfRule type="cellIs" dxfId="290" priority="190" stopIfTrue="1" operator="equal">
      <formula>$A$43</formula>
    </cfRule>
  </conditionalFormatting>
  <conditionalFormatting sqref="EP23">
    <cfRule type="cellIs" dxfId="289" priority="189" stopIfTrue="1" operator="equal">
      <formula>$A$43</formula>
    </cfRule>
  </conditionalFormatting>
  <conditionalFormatting sqref="EQ25">
    <cfRule type="cellIs" dxfId="288" priority="186" stopIfTrue="1" operator="equal">
      <formula>$A$43</formula>
    </cfRule>
  </conditionalFormatting>
  <conditionalFormatting sqref="EQ26:EQ27">
    <cfRule type="cellIs" dxfId="287" priority="187" stopIfTrue="1" operator="equal">
      <formula>$A$43</formula>
    </cfRule>
  </conditionalFormatting>
  <conditionalFormatting sqref="EQ26:EQ27">
    <cfRule type="cellIs" dxfId="286" priority="185" stopIfTrue="1" operator="equal">
      <formula>$A$43</formula>
    </cfRule>
  </conditionalFormatting>
  <conditionalFormatting sqref="EQ13">
    <cfRule type="cellIs" dxfId="285" priority="184" stopIfTrue="1" operator="equal">
      <formula>$A$43</formula>
    </cfRule>
  </conditionalFormatting>
  <conditionalFormatting sqref="EQ13">
    <cfRule type="cellIs" dxfId="284" priority="183" stopIfTrue="1" operator="equal">
      <formula>$A$43</formula>
    </cfRule>
  </conditionalFormatting>
  <conditionalFormatting sqref="EQ13">
    <cfRule type="cellIs" dxfId="283" priority="182" stopIfTrue="1" operator="equal">
      <formula>$A$43</formula>
    </cfRule>
  </conditionalFormatting>
  <conditionalFormatting sqref="EQ13">
    <cfRule type="cellIs" dxfId="282" priority="181" stopIfTrue="1" operator="equal">
      <formula>$A$43</formula>
    </cfRule>
  </conditionalFormatting>
  <conditionalFormatting sqref="EQ13">
    <cfRule type="cellIs" dxfId="281" priority="180" stopIfTrue="1" operator="equal">
      <formula>$A$43</formula>
    </cfRule>
  </conditionalFormatting>
  <conditionalFormatting sqref="EQ13">
    <cfRule type="cellIs" dxfId="280" priority="179" stopIfTrue="1" operator="equal">
      <formula>$A$43</formula>
    </cfRule>
  </conditionalFormatting>
  <conditionalFormatting sqref="EQ17">
    <cfRule type="cellIs" dxfId="279" priority="178" stopIfTrue="1" operator="equal">
      <formula>$A$42</formula>
    </cfRule>
  </conditionalFormatting>
  <conditionalFormatting sqref="EQ16">
    <cfRule type="cellIs" dxfId="278" priority="177" stopIfTrue="1" operator="equal">
      <formula>$A$42</formula>
    </cfRule>
  </conditionalFormatting>
  <conditionalFormatting sqref="EQ20">
    <cfRule type="cellIs" dxfId="277" priority="176" stopIfTrue="1" operator="equal">
      <formula>$A$43</formula>
    </cfRule>
  </conditionalFormatting>
  <conditionalFormatting sqref="EQ20">
    <cfRule type="cellIs" dxfId="276" priority="175" stopIfTrue="1" operator="equal">
      <formula>$A$43</formula>
    </cfRule>
  </conditionalFormatting>
  <conditionalFormatting sqref="EQ20">
    <cfRule type="cellIs" dxfId="275" priority="174" stopIfTrue="1" operator="equal">
      <formula>$A$43</formula>
    </cfRule>
  </conditionalFormatting>
  <conditionalFormatting sqref="EQ20">
    <cfRule type="cellIs" dxfId="274" priority="173" stopIfTrue="1" operator="equal">
      <formula>$A$43</formula>
    </cfRule>
  </conditionalFormatting>
  <conditionalFormatting sqref="EQ20">
    <cfRule type="cellIs" dxfId="273" priority="172" stopIfTrue="1" operator="equal">
      <formula>$A$43</formula>
    </cfRule>
  </conditionalFormatting>
  <conditionalFormatting sqref="EQ20">
    <cfRule type="cellIs" dxfId="272" priority="171" stopIfTrue="1" operator="equal">
      <formula>$A$43</formula>
    </cfRule>
  </conditionalFormatting>
  <conditionalFormatting sqref="EQ20">
    <cfRule type="cellIs" dxfId="271" priority="170" stopIfTrue="1" operator="equal">
      <formula>$A$43</formula>
    </cfRule>
  </conditionalFormatting>
  <conditionalFormatting sqref="EQ20">
    <cfRule type="cellIs" dxfId="270" priority="169" stopIfTrue="1" operator="equal">
      <formula>$A$43</formula>
    </cfRule>
  </conditionalFormatting>
  <conditionalFormatting sqref="EQ20">
    <cfRule type="cellIs" dxfId="269" priority="168" stopIfTrue="1" operator="equal">
      <formula>$A$43</formula>
    </cfRule>
  </conditionalFormatting>
  <conditionalFormatting sqref="EQ20">
    <cfRule type="cellIs" dxfId="268" priority="167" stopIfTrue="1" operator="equal">
      <formula>$A$43</formula>
    </cfRule>
  </conditionalFormatting>
  <conditionalFormatting sqref="EQ20">
    <cfRule type="cellIs" dxfId="267" priority="166" stopIfTrue="1" operator="equal">
      <formula>$A$43</formula>
    </cfRule>
  </conditionalFormatting>
  <conditionalFormatting sqref="EQ20">
    <cfRule type="cellIs" dxfId="266" priority="165" stopIfTrue="1" operator="equal">
      <formula>$A$43</formula>
    </cfRule>
  </conditionalFormatting>
  <conditionalFormatting sqref="EQ20">
    <cfRule type="cellIs" dxfId="265" priority="164" stopIfTrue="1" operator="equal">
      <formula>$A$43</formula>
    </cfRule>
  </conditionalFormatting>
  <conditionalFormatting sqref="EQ20">
    <cfRule type="cellIs" dxfId="264" priority="163" stopIfTrue="1" operator="equal">
      <formula>$A$43</formula>
    </cfRule>
  </conditionalFormatting>
  <conditionalFormatting sqref="EQ20">
    <cfRule type="cellIs" dxfId="263" priority="162" stopIfTrue="1" operator="equal">
      <formula>$A$43</formula>
    </cfRule>
  </conditionalFormatting>
  <conditionalFormatting sqref="EQ20">
    <cfRule type="cellIs" dxfId="262" priority="161" stopIfTrue="1" operator="equal">
      <formula>$A$43</formula>
    </cfRule>
  </conditionalFormatting>
  <conditionalFormatting sqref="EQ20">
    <cfRule type="cellIs" dxfId="261" priority="160" stopIfTrue="1" operator="equal">
      <formula>$A$43</formula>
    </cfRule>
  </conditionalFormatting>
  <conditionalFormatting sqref="EQ20">
    <cfRule type="cellIs" dxfId="260" priority="159" stopIfTrue="1" operator="equal">
      <formula>$A$43</formula>
    </cfRule>
  </conditionalFormatting>
  <conditionalFormatting sqref="EQ20">
    <cfRule type="cellIs" dxfId="259" priority="158" stopIfTrue="1" operator="equal">
      <formula>$A$43</formula>
    </cfRule>
  </conditionalFormatting>
  <conditionalFormatting sqref="EQ20">
    <cfRule type="cellIs" dxfId="258" priority="157" stopIfTrue="1" operator="equal">
      <formula>$A$43</formula>
    </cfRule>
  </conditionalFormatting>
  <conditionalFormatting sqref="EQ20">
    <cfRule type="cellIs" dxfId="257" priority="156" stopIfTrue="1" operator="equal">
      <formula>$A$43</formula>
    </cfRule>
  </conditionalFormatting>
  <conditionalFormatting sqref="EQ20">
    <cfRule type="cellIs" dxfId="256" priority="155" stopIfTrue="1" operator="equal">
      <formula>$A$43</formula>
    </cfRule>
  </conditionalFormatting>
  <conditionalFormatting sqref="EQ20">
    <cfRule type="cellIs" dxfId="255" priority="154" stopIfTrue="1" operator="equal">
      <formula>$A$43</formula>
    </cfRule>
  </conditionalFormatting>
  <conditionalFormatting sqref="EQ20">
    <cfRule type="cellIs" dxfId="254" priority="153" stopIfTrue="1" operator="equal">
      <formula>$A$43</formula>
    </cfRule>
  </conditionalFormatting>
  <conditionalFormatting sqref="EQ20">
    <cfRule type="cellIs" dxfId="253" priority="152" stopIfTrue="1" operator="equal">
      <formula>$A$43</formula>
    </cfRule>
  </conditionalFormatting>
  <conditionalFormatting sqref="EQ20">
    <cfRule type="cellIs" dxfId="252" priority="151" stopIfTrue="1" operator="equal">
      <formula>$A$43</formula>
    </cfRule>
  </conditionalFormatting>
  <conditionalFormatting sqref="EQ20">
    <cfRule type="cellIs" dxfId="251" priority="150" stopIfTrue="1" operator="equal">
      <formula>$A$43</formula>
    </cfRule>
  </conditionalFormatting>
  <conditionalFormatting sqref="EQ20">
    <cfRule type="cellIs" dxfId="250" priority="149" stopIfTrue="1" operator="equal">
      <formula>$A$43</formula>
    </cfRule>
  </conditionalFormatting>
  <conditionalFormatting sqref="EQ20">
    <cfRule type="cellIs" dxfId="249" priority="148" stopIfTrue="1" operator="equal">
      <formula>$A$43</formula>
    </cfRule>
  </conditionalFormatting>
  <conditionalFormatting sqref="EQ20">
    <cfRule type="cellIs" dxfId="248" priority="147" stopIfTrue="1" operator="equal">
      <formula>$A$43</formula>
    </cfRule>
  </conditionalFormatting>
  <conditionalFormatting sqref="EQ20">
    <cfRule type="cellIs" dxfId="247" priority="146" stopIfTrue="1" operator="equal">
      <formula>$A$42</formula>
    </cfRule>
  </conditionalFormatting>
  <conditionalFormatting sqref="EQ31">
    <cfRule type="cellIs" dxfId="246" priority="142" stopIfTrue="1" operator="equal">
      <formula>$A$43</formula>
    </cfRule>
  </conditionalFormatting>
  <conditionalFormatting sqref="EQ14">
    <cfRule type="cellIs" dxfId="245" priority="141" stopIfTrue="1" operator="equal">
      <formula>$A$43</formula>
    </cfRule>
  </conditionalFormatting>
  <conditionalFormatting sqref="EQ23">
    <cfRule type="cellIs" dxfId="244" priority="140" stopIfTrue="1" operator="equal">
      <formula>$A$43</formula>
    </cfRule>
  </conditionalFormatting>
  <conditionalFormatting sqref="ER25">
    <cfRule type="cellIs" dxfId="243" priority="137" stopIfTrue="1" operator="equal">
      <formula>$A$43</formula>
    </cfRule>
  </conditionalFormatting>
  <conditionalFormatting sqref="ER26:ER27">
    <cfRule type="cellIs" dxfId="242" priority="138" stopIfTrue="1" operator="equal">
      <formula>$A$43</formula>
    </cfRule>
  </conditionalFormatting>
  <conditionalFormatting sqref="ER26:ER27">
    <cfRule type="cellIs" dxfId="241" priority="136" stopIfTrue="1" operator="equal">
      <formula>$A$43</formula>
    </cfRule>
  </conditionalFormatting>
  <conditionalFormatting sqref="ER13">
    <cfRule type="cellIs" dxfId="240" priority="135" stopIfTrue="1" operator="equal">
      <formula>$A$43</formula>
    </cfRule>
  </conditionalFormatting>
  <conditionalFormatting sqref="ER13">
    <cfRule type="cellIs" dxfId="239" priority="134" stopIfTrue="1" operator="equal">
      <formula>$A$43</formula>
    </cfRule>
  </conditionalFormatting>
  <conditionalFormatting sqref="ER13">
    <cfRule type="cellIs" dxfId="238" priority="133" stopIfTrue="1" operator="equal">
      <formula>$A$43</formula>
    </cfRule>
  </conditionalFormatting>
  <conditionalFormatting sqref="ER13">
    <cfRule type="cellIs" dxfId="237" priority="132" stopIfTrue="1" operator="equal">
      <formula>$A$43</formula>
    </cfRule>
  </conditionalFormatting>
  <conditionalFormatting sqref="ER13">
    <cfRule type="cellIs" dxfId="236" priority="131" stopIfTrue="1" operator="equal">
      <formula>$A$43</formula>
    </cfRule>
  </conditionalFormatting>
  <conditionalFormatting sqref="ER13">
    <cfRule type="cellIs" dxfId="235" priority="130" stopIfTrue="1" operator="equal">
      <formula>$A$43</formula>
    </cfRule>
  </conditionalFormatting>
  <conditionalFormatting sqref="ER17">
    <cfRule type="cellIs" dxfId="234" priority="129" stopIfTrue="1" operator="equal">
      <formula>$A$42</formula>
    </cfRule>
  </conditionalFormatting>
  <conditionalFormatting sqref="ER16">
    <cfRule type="cellIs" dxfId="233" priority="128" stopIfTrue="1" operator="equal">
      <formula>$A$42</formula>
    </cfRule>
  </conditionalFormatting>
  <conditionalFormatting sqref="ER20">
    <cfRule type="cellIs" dxfId="232" priority="127" stopIfTrue="1" operator="equal">
      <formula>$A$43</formula>
    </cfRule>
  </conditionalFormatting>
  <conditionalFormatting sqref="ER20">
    <cfRule type="cellIs" dxfId="231" priority="126" stopIfTrue="1" operator="equal">
      <formula>$A$43</formula>
    </cfRule>
  </conditionalFormatting>
  <conditionalFormatting sqref="ER20">
    <cfRule type="cellIs" dxfId="230" priority="125" stopIfTrue="1" operator="equal">
      <formula>$A$43</formula>
    </cfRule>
  </conditionalFormatting>
  <conditionalFormatting sqref="ER20">
    <cfRule type="cellIs" dxfId="229" priority="124" stopIfTrue="1" operator="equal">
      <formula>$A$43</formula>
    </cfRule>
  </conditionalFormatting>
  <conditionalFormatting sqref="ER20">
    <cfRule type="cellIs" dxfId="228" priority="123" stopIfTrue="1" operator="equal">
      <formula>$A$43</formula>
    </cfRule>
  </conditionalFormatting>
  <conditionalFormatting sqref="ER20">
    <cfRule type="cellIs" dxfId="227" priority="122" stopIfTrue="1" operator="equal">
      <formula>$A$43</formula>
    </cfRule>
  </conditionalFormatting>
  <conditionalFormatting sqref="ER20">
    <cfRule type="cellIs" dxfId="226" priority="121" stopIfTrue="1" operator="equal">
      <formula>$A$43</formula>
    </cfRule>
  </conditionalFormatting>
  <conditionalFormatting sqref="ER20">
    <cfRule type="cellIs" dxfId="225" priority="120" stopIfTrue="1" operator="equal">
      <formula>$A$43</formula>
    </cfRule>
  </conditionalFormatting>
  <conditionalFormatting sqref="ER20">
    <cfRule type="cellIs" dxfId="224" priority="119" stopIfTrue="1" operator="equal">
      <formula>$A$43</formula>
    </cfRule>
  </conditionalFormatting>
  <conditionalFormatting sqref="ER20">
    <cfRule type="cellIs" dxfId="223" priority="118" stopIfTrue="1" operator="equal">
      <formula>$A$43</formula>
    </cfRule>
  </conditionalFormatting>
  <conditionalFormatting sqref="ER20">
    <cfRule type="cellIs" dxfId="222" priority="117" stopIfTrue="1" operator="equal">
      <formula>$A$43</formula>
    </cfRule>
  </conditionalFormatting>
  <conditionalFormatting sqref="ER20">
    <cfRule type="cellIs" dxfId="221" priority="116" stopIfTrue="1" operator="equal">
      <formula>$A$43</formula>
    </cfRule>
  </conditionalFormatting>
  <conditionalFormatting sqref="ER20">
    <cfRule type="cellIs" dxfId="220" priority="115" stopIfTrue="1" operator="equal">
      <formula>$A$43</formula>
    </cfRule>
  </conditionalFormatting>
  <conditionalFormatting sqref="ER20">
    <cfRule type="cellIs" dxfId="219" priority="114" stopIfTrue="1" operator="equal">
      <formula>$A$43</formula>
    </cfRule>
  </conditionalFormatting>
  <conditionalFormatting sqref="ER20">
    <cfRule type="cellIs" dxfId="218" priority="113" stopIfTrue="1" operator="equal">
      <formula>$A$43</formula>
    </cfRule>
  </conditionalFormatting>
  <conditionalFormatting sqref="ER20">
    <cfRule type="cellIs" dxfId="217" priority="112" stopIfTrue="1" operator="equal">
      <formula>$A$43</formula>
    </cfRule>
  </conditionalFormatting>
  <conditionalFormatting sqref="ER20">
    <cfRule type="cellIs" dxfId="216" priority="111" stopIfTrue="1" operator="equal">
      <formula>$A$43</formula>
    </cfRule>
  </conditionalFormatting>
  <conditionalFormatting sqref="ER20">
    <cfRule type="cellIs" dxfId="215" priority="110" stopIfTrue="1" operator="equal">
      <formula>$A$43</formula>
    </cfRule>
  </conditionalFormatting>
  <conditionalFormatting sqref="ER20">
    <cfRule type="cellIs" dxfId="214" priority="109" stopIfTrue="1" operator="equal">
      <formula>$A$43</formula>
    </cfRule>
  </conditionalFormatting>
  <conditionalFormatting sqref="ER20">
    <cfRule type="cellIs" dxfId="213" priority="108" stopIfTrue="1" operator="equal">
      <formula>$A$43</formula>
    </cfRule>
  </conditionalFormatting>
  <conditionalFormatting sqref="ER20">
    <cfRule type="cellIs" dxfId="212" priority="107" stopIfTrue="1" operator="equal">
      <formula>$A$43</formula>
    </cfRule>
  </conditionalFormatting>
  <conditionalFormatting sqref="ER20">
    <cfRule type="cellIs" dxfId="211" priority="106" stopIfTrue="1" operator="equal">
      <formula>$A$43</formula>
    </cfRule>
  </conditionalFormatting>
  <conditionalFormatting sqref="ER20">
    <cfRule type="cellIs" dxfId="210" priority="105" stopIfTrue="1" operator="equal">
      <formula>$A$43</formula>
    </cfRule>
  </conditionalFormatting>
  <conditionalFormatting sqref="ER20">
    <cfRule type="cellIs" dxfId="209" priority="104" stopIfTrue="1" operator="equal">
      <formula>$A$43</formula>
    </cfRule>
  </conditionalFormatting>
  <conditionalFormatting sqref="ER20">
    <cfRule type="cellIs" dxfId="208" priority="103" stopIfTrue="1" operator="equal">
      <formula>$A$43</formula>
    </cfRule>
  </conditionalFormatting>
  <conditionalFormatting sqref="ER20">
    <cfRule type="cellIs" dxfId="207" priority="102" stopIfTrue="1" operator="equal">
      <formula>$A$43</formula>
    </cfRule>
  </conditionalFormatting>
  <conditionalFormatting sqref="ER20">
    <cfRule type="cellIs" dxfId="206" priority="101" stopIfTrue="1" operator="equal">
      <formula>$A$43</formula>
    </cfRule>
  </conditionalFormatting>
  <conditionalFormatting sqref="ER20">
    <cfRule type="cellIs" dxfId="205" priority="100" stopIfTrue="1" operator="equal">
      <formula>$A$43</formula>
    </cfRule>
  </conditionalFormatting>
  <conditionalFormatting sqref="ER20">
    <cfRule type="cellIs" dxfId="204" priority="99" stopIfTrue="1" operator="equal">
      <formula>$A$43</formula>
    </cfRule>
  </conditionalFormatting>
  <conditionalFormatting sqref="ER20">
    <cfRule type="cellIs" dxfId="203" priority="98" stopIfTrue="1" operator="equal">
      <formula>$A$43</formula>
    </cfRule>
  </conditionalFormatting>
  <conditionalFormatting sqref="ER20">
    <cfRule type="cellIs" dxfId="202" priority="97" stopIfTrue="1" operator="equal">
      <formula>$A$42</formula>
    </cfRule>
  </conditionalFormatting>
  <conditionalFormatting sqref="ER31">
    <cfRule type="cellIs" dxfId="201" priority="93" stopIfTrue="1" operator="equal">
      <formula>$A$43</formula>
    </cfRule>
  </conditionalFormatting>
  <conditionalFormatting sqref="ER14">
    <cfRule type="cellIs" dxfId="200" priority="92" stopIfTrue="1" operator="equal">
      <formula>$A$43</formula>
    </cfRule>
  </conditionalFormatting>
  <conditionalFormatting sqref="ER23">
    <cfRule type="cellIs" dxfId="199" priority="91" stopIfTrue="1" operator="equal">
      <formula>$A$43</formula>
    </cfRule>
  </conditionalFormatting>
  <conditionalFormatting sqref="ES8">
    <cfRule type="cellIs" dxfId="198" priority="90" stopIfTrue="1" operator="equal">
      <formula>$A$43</formula>
    </cfRule>
  </conditionalFormatting>
  <conditionalFormatting sqref="ES15">
    <cfRule type="cellIs" dxfId="197" priority="89" stopIfTrue="1" operator="equal">
      <formula>$A$43</formula>
    </cfRule>
  </conditionalFormatting>
  <conditionalFormatting sqref="ES24">
    <cfRule type="cellIs" dxfId="196" priority="88" stopIfTrue="1" operator="equal">
      <formula>$A$43</formula>
    </cfRule>
  </conditionalFormatting>
  <conditionalFormatting sqref="ES27">
    <cfRule type="cellIs" dxfId="195" priority="87" stopIfTrue="1" operator="equal">
      <formula>$A$43</formula>
    </cfRule>
  </conditionalFormatting>
  <conditionalFormatting sqref="ES11">
    <cfRule type="cellIs" dxfId="194" priority="84" stopIfTrue="1" operator="equal">
      <formula>$A$42</formula>
    </cfRule>
  </conditionalFormatting>
  <conditionalFormatting sqref="ES13">
    <cfRule type="cellIs" dxfId="193" priority="82" stopIfTrue="1" operator="equal">
      <formula>$A$43</formula>
    </cfRule>
  </conditionalFormatting>
  <conditionalFormatting sqref="ES13">
    <cfRule type="cellIs" dxfId="192" priority="81" stopIfTrue="1" operator="equal">
      <formula>$A$43</formula>
    </cfRule>
  </conditionalFormatting>
  <conditionalFormatting sqref="ES13">
    <cfRule type="cellIs" dxfId="191" priority="80" stopIfTrue="1" operator="equal">
      <formula>$A$43</formula>
    </cfRule>
  </conditionalFormatting>
  <conditionalFormatting sqref="ES13">
    <cfRule type="cellIs" dxfId="190" priority="79" stopIfTrue="1" operator="equal">
      <formula>$A$43</formula>
    </cfRule>
  </conditionalFormatting>
  <conditionalFormatting sqref="ES13">
    <cfRule type="cellIs" dxfId="189" priority="78" stopIfTrue="1" operator="equal">
      <formula>$A$43</formula>
    </cfRule>
  </conditionalFormatting>
  <conditionalFormatting sqref="ES13">
    <cfRule type="cellIs" dxfId="188" priority="77" stopIfTrue="1" operator="equal">
      <formula>$A$43</formula>
    </cfRule>
  </conditionalFormatting>
  <conditionalFormatting sqref="ES16:ES22">
    <cfRule type="cellIs" dxfId="187" priority="75" stopIfTrue="1" operator="equal">
      <formula>$A$43</formula>
    </cfRule>
  </conditionalFormatting>
  <conditionalFormatting sqref="ES17">
    <cfRule type="cellIs" dxfId="186" priority="76" stopIfTrue="1" operator="equal">
      <formula>$A$42</formula>
    </cfRule>
  </conditionalFormatting>
  <conditionalFormatting sqref="ES17">
    <cfRule type="cellIs" dxfId="185" priority="74" stopIfTrue="1" operator="equal">
      <formula>$A$42</formula>
    </cfRule>
  </conditionalFormatting>
  <conditionalFormatting sqref="ES16">
    <cfRule type="cellIs" dxfId="184" priority="73" stopIfTrue="1" operator="equal">
      <formula>$A$42</formula>
    </cfRule>
  </conditionalFormatting>
  <conditionalFormatting sqref="ES20">
    <cfRule type="cellIs" dxfId="183" priority="72" stopIfTrue="1" operator="equal">
      <formula>$A$43</formula>
    </cfRule>
  </conditionalFormatting>
  <conditionalFormatting sqref="ES20">
    <cfRule type="cellIs" dxfId="182" priority="71" stopIfTrue="1" operator="equal">
      <formula>$A$43</formula>
    </cfRule>
  </conditionalFormatting>
  <conditionalFormatting sqref="ES20">
    <cfRule type="cellIs" dxfId="181" priority="70" stopIfTrue="1" operator="equal">
      <formula>$A$43</formula>
    </cfRule>
  </conditionalFormatting>
  <conditionalFormatting sqref="ES20">
    <cfRule type="cellIs" dxfId="180" priority="69" stopIfTrue="1" operator="equal">
      <formula>$A$43</formula>
    </cfRule>
  </conditionalFormatting>
  <conditionalFormatting sqref="ES20">
    <cfRule type="cellIs" dxfId="179" priority="68" stopIfTrue="1" operator="equal">
      <formula>$A$43</formula>
    </cfRule>
  </conditionalFormatting>
  <conditionalFormatting sqref="ES20">
    <cfRule type="cellIs" dxfId="178" priority="67" stopIfTrue="1" operator="equal">
      <formula>$A$43</formula>
    </cfRule>
  </conditionalFormatting>
  <conditionalFormatting sqref="ES20">
    <cfRule type="cellIs" dxfId="177" priority="66" stopIfTrue="1" operator="equal">
      <formula>$A$43</formula>
    </cfRule>
  </conditionalFormatting>
  <conditionalFormatting sqref="ES20">
    <cfRule type="cellIs" dxfId="176" priority="65" stopIfTrue="1" operator="equal">
      <formula>$A$43</formula>
    </cfRule>
  </conditionalFormatting>
  <conditionalFormatting sqref="ES20">
    <cfRule type="cellIs" dxfId="175" priority="64" stopIfTrue="1" operator="equal">
      <formula>$A$43</formula>
    </cfRule>
  </conditionalFormatting>
  <conditionalFormatting sqref="ES20">
    <cfRule type="cellIs" dxfId="174" priority="63" stopIfTrue="1" operator="equal">
      <formula>$A$43</formula>
    </cfRule>
  </conditionalFormatting>
  <conditionalFormatting sqref="ES20">
    <cfRule type="cellIs" dxfId="173" priority="62" stopIfTrue="1" operator="equal">
      <formula>$A$43</formula>
    </cfRule>
  </conditionalFormatting>
  <conditionalFormatting sqref="ES20">
    <cfRule type="cellIs" dxfId="172" priority="61" stopIfTrue="1" operator="equal">
      <formula>$A$43</formula>
    </cfRule>
  </conditionalFormatting>
  <conditionalFormatting sqref="ES20">
    <cfRule type="cellIs" dxfId="171" priority="60" stopIfTrue="1" operator="equal">
      <formula>$A$43</formula>
    </cfRule>
  </conditionalFormatting>
  <conditionalFormatting sqref="ES20">
    <cfRule type="cellIs" dxfId="170" priority="59" stopIfTrue="1" operator="equal">
      <formula>$A$43</formula>
    </cfRule>
  </conditionalFormatting>
  <conditionalFormatting sqref="ES20">
    <cfRule type="cellIs" dxfId="169" priority="58" stopIfTrue="1" operator="equal">
      <formula>$A$43</formula>
    </cfRule>
  </conditionalFormatting>
  <conditionalFormatting sqref="ES20">
    <cfRule type="cellIs" dxfId="168" priority="57" stopIfTrue="1" operator="equal">
      <formula>$A$43</formula>
    </cfRule>
  </conditionalFormatting>
  <conditionalFormatting sqref="ES20">
    <cfRule type="cellIs" dxfId="167" priority="56" stopIfTrue="1" operator="equal">
      <formula>$A$43</formula>
    </cfRule>
  </conditionalFormatting>
  <conditionalFormatting sqref="ES20">
    <cfRule type="cellIs" dxfId="166" priority="55" stopIfTrue="1" operator="equal">
      <formula>$A$43</formula>
    </cfRule>
  </conditionalFormatting>
  <conditionalFormatting sqref="ES20">
    <cfRule type="cellIs" dxfId="165" priority="54" stopIfTrue="1" operator="equal">
      <formula>$A$43</formula>
    </cfRule>
  </conditionalFormatting>
  <conditionalFormatting sqref="ES20">
    <cfRule type="cellIs" dxfId="164" priority="53" stopIfTrue="1" operator="equal">
      <formula>$A$43</formula>
    </cfRule>
  </conditionalFormatting>
  <conditionalFormatting sqref="ES20">
    <cfRule type="cellIs" dxfId="163" priority="52" stopIfTrue="1" operator="equal">
      <formula>$A$43</formula>
    </cfRule>
  </conditionalFormatting>
  <conditionalFormatting sqref="ES20">
    <cfRule type="cellIs" dxfId="162" priority="51" stopIfTrue="1" operator="equal">
      <formula>$A$43</formula>
    </cfRule>
  </conditionalFormatting>
  <conditionalFormatting sqref="ES20">
    <cfRule type="cellIs" dxfId="161" priority="50" stopIfTrue="1" operator="equal">
      <formula>$A$43</formula>
    </cfRule>
  </conditionalFormatting>
  <conditionalFormatting sqref="ES20">
    <cfRule type="cellIs" dxfId="160" priority="49" stopIfTrue="1" operator="equal">
      <formula>$A$43</formula>
    </cfRule>
  </conditionalFormatting>
  <conditionalFormatting sqref="ES20">
    <cfRule type="cellIs" dxfId="159" priority="48" stopIfTrue="1" operator="equal">
      <formula>$A$43</formula>
    </cfRule>
  </conditionalFormatting>
  <conditionalFormatting sqref="ES20">
    <cfRule type="cellIs" dxfId="158" priority="47" stopIfTrue="1" operator="equal">
      <formula>$A$43</formula>
    </cfRule>
  </conditionalFormatting>
  <conditionalFormatting sqref="ES20">
    <cfRule type="cellIs" dxfId="157" priority="46" stopIfTrue="1" operator="equal">
      <formula>$A$43</formula>
    </cfRule>
  </conditionalFormatting>
  <conditionalFormatting sqref="ES20">
    <cfRule type="cellIs" dxfId="156" priority="45" stopIfTrue="1" operator="equal">
      <formula>$A$43</formula>
    </cfRule>
  </conditionalFormatting>
  <conditionalFormatting sqref="ES20">
    <cfRule type="cellIs" dxfId="155" priority="44" stopIfTrue="1" operator="equal">
      <formula>$A$43</formula>
    </cfRule>
  </conditionalFormatting>
  <conditionalFormatting sqref="ES20">
    <cfRule type="cellIs" dxfId="154" priority="43" stopIfTrue="1" operator="equal">
      <formula>$A$43</formula>
    </cfRule>
  </conditionalFormatting>
  <conditionalFormatting sqref="ES20">
    <cfRule type="cellIs" dxfId="153" priority="42" stopIfTrue="1" operator="equal">
      <formula>$A$42</formula>
    </cfRule>
  </conditionalFormatting>
  <conditionalFormatting sqref="ES25">
    <cfRule type="cellIs" dxfId="152" priority="40" stopIfTrue="1" operator="equal">
      <formula>$A$43</formula>
    </cfRule>
  </conditionalFormatting>
  <conditionalFormatting sqref="ES28:ES29">
    <cfRule type="cellIs" dxfId="151" priority="38" stopIfTrue="1" operator="equal">
      <formula>$A$43</formula>
    </cfRule>
  </conditionalFormatting>
  <conditionalFormatting sqref="ES14">
    <cfRule type="cellIs" dxfId="150" priority="30" stopIfTrue="1" operator="equal">
      <formula>$A$43</formula>
    </cfRule>
  </conditionalFormatting>
  <conditionalFormatting sqref="ES23">
    <cfRule type="cellIs" dxfId="149" priority="29" stopIfTrue="1" operator="equal">
      <formula>$A$43</formula>
    </cfRule>
  </conditionalFormatting>
  <conditionalFormatting sqref="ET8">
    <cfRule type="cellIs" dxfId="148" priority="28" stopIfTrue="1" operator="equal">
      <formula>$A$43</formula>
    </cfRule>
  </conditionalFormatting>
  <conditionalFormatting sqref="ET15">
    <cfRule type="cellIs" dxfId="147" priority="27" stopIfTrue="1" operator="equal">
      <formula>$A$43</formula>
    </cfRule>
  </conditionalFormatting>
  <conditionalFormatting sqref="ET24">
    <cfRule type="cellIs" dxfId="146" priority="26" stopIfTrue="1" operator="equal">
      <formula>$A$43</formula>
    </cfRule>
  </conditionalFormatting>
  <conditionalFormatting sqref="ET27">
    <cfRule type="cellIs" dxfId="145" priority="25" stopIfTrue="1" operator="equal">
      <formula>$A$43</formula>
    </cfRule>
  </conditionalFormatting>
  <conditionalFormatting sqref="ET14">
    <cfRule type="cellIs" dxfId="144" priority="22" stopIfTrue="1" operator="equal">
      <formula>$A$43</formula>
    </cfRule>
  </conditionalFormatting>
  <conditionalFormatting sqref="EU8">
    <cfRule type="cellIs" dxfId="143" priority="21" stopIfTrue="1" operator="equal">
      <formula>$A$43</formula>
    </cfRule>
  </conditionalFormatting>
  <conditionalFormatting sqref="EU15">
    <cfRule type="cellIs" dxfId="142" priority="20" stopIfTrue="1" operator="equal">
      <formula>$A$43</formula>
    </cfRule>
  </conditionalFormatting>
  <conditionalFormatting sqref="EU24">
    <cfRule type="cellIs" dxfId="141" priority="19" stopIfTrue="1" operator="equal">
      <formula>$A$43</formula>
    </cfRule>
  </conditionalFormatting>
  <conditionalFormatting sqref="EU27">
    <cfRule type="cellIs" dxfId="140" priority="18" stopIfTrue="1" operator="equal">
      <formula>$A$43</formula>
    </cfRule>
  </conditionalFormatting>
  <conditionalFormatting sqref="EU14">
    <cfRule type="cellIs" dxfId="139" priority="15" stopIfTrue="1" operator="equal">
      <formula>$A$43</formula>
    </cfRule>
  </conditionalFormatting>
  <conditionalFormatting sqref="EU23">
    <cfRule type="cellIs" dxfId="138" priority="14" stopIfTrue="1" operator="equal">
      <formula>$A$43</formula>
    </cfRule>
  </conditionalFormatting>
  <conditionalFormatting sqref="I10:R10">
    <cfRule type="cellIs" dxfId="137" priority="3373" stopIfTrue="1" operator="equal">
      <formula>$B$42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T44"/>
  <sheetViews>
    <sheetView topLeftCell="C1" zoomScale="82" zoomScaleNormal="82" workbookViewId="0">
      <selection activeCell="C1" sqref="C1"/>
    </sheetView>
  </sheetViews>
  <sheetFormatPr baseColWidth="10" defaultColWidth="11.42578125" defaultRowHeight="12.75"/>
  <cols>
    <col min="1" max="1" width="15.42578125" style="857" hidden="1" customWidth="1"/>
    <col min="2" max="2" width="9.42578125" style="857" hidden="1" customWidth="1"/>
    <col min="3" max="3" width="37.28515625" style="860" bestFit="1" customWidth="1"/>
    <col min="4" max="4" width="7.42578125" style="859" customWidth="1"/>
    <col min="5" max="5" width="16.7109375" style="859" customWidth="1"/>
    <col min="6" max="6" width="15.85546875" style="860" customWidth="1"/>
    <col min="7" max="7" width="13.5703125" style="859" customWidth="1"/>
    <col min="8" max="8" width="14.28515625" style="860" customWidth="1"/>
    <col min="9" max="9" width="14" style="860" customWidth="1"/>
    <col min="10" max="10" width="14.42578125" style="861" customWidth="1"/>
    <col min="11" max="12" width="14.28515625" style="860" customWidth="1"/>
    <col min="13" max="14" width="14.28515625" style="862" customWidth="1"/>
    <col min="15" max="15" width="14.7109375" style="860" customWidth="1"/>
    <col min="16" max="16" width="14.28515625" style="860" customWidth="1"/>
    <col min="17" max="18" width="14.28515625" style="863" customWidth="1"/>
    <col min="19" max="19" width="14.28515625" style="860" customWidth="1"/>
    <col min="20" max="20" width="14.28515625" style="863" customWidth="1"/>
    <col min="21" max="21" width="13.7109375" customWidth="1"/>
    <col min="22" max="22" width="13" style="1354" customWidth="1"/>
    <col min="23" max="23" width="12.85546875" style="860" customWidth="1"/>
    <col min="24" max="24" width="14.28515625" style="863" customWidth="1"/>
    <col min="25" max="25" width="14.85546875" style="860" customWidth="1"/>
    <col min="26" max="26" width="16.28515625" style="860" customWidth="1"/>
    <col min="27" max="27" width="14.28515625" style="860" customWidth="1"/>
    <col min="28" max="28" width="16.28515625" style="860" customWidth="1"/>
    <col min="29" max="29" width="12.5703125" style="860" customWidth="1"/>
    <col min="30" max="36" width="13" style="860" customWidth="1"/>
    <col min="37" max="38" width="12.85546875" style="860" customWidth="1"/>
    <col min="39" max="40" width="11.42578125" style="860"/>
    <col min="41" max="41" width="12.42578125" style="859" customWidth="1"/>
    <col min="42" max="42" width="12.28515625" style="859" customWidth="1"/>
    <col min="43" max="43" width="12.42578125" style="860" customWidth="1"/>
    <col min="44" max="44" width="16.140625" style="863" customWidth="1"/>
    <col min="45" max="46" width="14.5703125" style="860" customWidth="1"/>
    <col min="47" max="48" width="14.5703125" style="862" customWidth="1"/>
    <col min="49" max="50" width="13.42578125" style="860" customWidth="1"/>
    <col min="51" max="51" width="14.85546875" style="860" customWidth="1"/>
    <col min="52" max="52" width="14.85546875" style="864" customWidth="1"/>
    <col min="53" max="53" width="11.5703125" customWidth="1"/>
    <col min="54" max="54" width="11.42578125" style="860" customWidth="1"/>
    <col min="55" max="71" width="11.42578125" style="860"/>
    <col min="72" max="72" width="14.85546875" style="579" hidden="1" customWidth="1"/>
    <col min="73" max="16384" width="11.42578125" style="860"/>
  </cols>
  <sheetData>
    <row r="1" spans="1:72">
      <c r="C1" s="858" t="str">
        <f>Criterios!A9 &amp;"  "&amp;Criterios!B9</f>
        <v>Tribunales de Justicia  ANDALUCIA</v>
      </c>
      <c r="F1" s="859"/>
    </row>
    <row r="2" spans="1:72" ht="16.5" customHeight="1">
      <c r="C2" s="571" t="str">
        <f>Criterios!A10 &amp;"  "&amp;Criterios!B10 &amp; "  " &amp; IF(NOT(ISBLANK(Criterios!A11)),Criterios!A11 &amp;"  "&amp;Criterios!B11,"")</f>
        <v>Provincias  MALAGA  Resumenes por Partidos Judiciales  MALAGA</v>
      </c>
      <c r="D2" s="865"/>
      <c r="E2" s="866"/>
      <c r="F2" s="867"/>
      <c r="G2" s="868"/>
      <c r="I2" s="869"/>
      <c r="J2" s="870"/>
      <c r="K2" s="869"/>
      <c r="L2" s="869"/>
      <c r="M2" s="871"/>
      <c r="N2" s="871"/>
      <c r="O2" s="869"/>
      <c r="S2" s="869"/>
      <c r="T2" s="872"/>
    </row>
    <row r="3" spans="1:72" ht="21.75" customHeight="1">
      <c r="C3" s="874"/>
      <c r="D3" s="875"/>
      <c r="F3" s="859"/>
      <c r="G3" s="876"/>
      <c r="I3" s="873"/>
    </row>
    <row r="4" spans="1:72" ht="16.5" customHeight="1" thickBot="1">
      <c r="C4" s="804"/>
      <c r="D4" s="877"/>
      <c r="E4" s="878"/>
      <c r="F4" s="878"/>
      <c r="G4" s="878"/>
      <c r="H4" s="878"/>
      <c r="I4" s="879"/>
      <c r="J4" s="880"/>
      <c r="K4" s="878"/>
      <c r="L4" s="879"/>
      <c r="M4" s="881"/>
      <c r="N4" s="879"/>
      <c r="O4" s="878"/>
      <c r="P4" s="879"/>
      <c r="Q4" s="872"/>
      <c r="R4" s="882"/>
      <c r="S4" s="879"/>
      <c r="T4" s="878"/>
      <c r="W4" s="879"/>
      <c r="X4" s="878"/>
      <c r="Y4" s="879"/>
      <c r="Z4" s="878"/>
      <c r="AA4" s="879"/>
      <c r="AB4" s="879"/>
      <c r="AC4" s="878"/>
      <c r="AD4" s="879"/>
      <c r="AE4" s="878"/>
      <c r="AF4" s="879"/>
      <c r="AG4" s="878"/>
      <c r="AH4" s="879"/>
      <c r="AI4" s="878"/>
      <c r="AJ4" s="879"/>
      <c r="AK4" s="878"/>
      <c r="AL4" s="879"/>
      <c r="AM4" s="878"/>
      <c r="AN4" s="879"/>
      <c r="AO4" s="878"/>
      <c r="AP4" s="878"/>
      <c r="AQ4" s="878"/>
      <c r="AR4" s="879"/>
      <c r="AS4" s="879"/>
      <c r="AT4" s="878"/>
      <c r="AU4" s="879"/>
      <c r="AV4" s="878"/>
      <c r="AW4" s="879"/>
      <c r="AX4" s="878"/>
      <c r="AY4" s="879"/>
      <c r="AZ4" s="878"/>
      <c r="BT4" s="586"/>
    </row>
    <row r="5" spans="1:72" ht="15.75" customHeight="1">
      <c r="A5" s="1642" t="s">
        <v>469</v>
      </c>
      <c r="B5" s="297"/>
      <c r="C5" s="1642" t="str">
        <f>"Año:  " &amp;Criterios!B$5 &amp; "          Trimestre   " &amp;Criterios!D$5 &amp; " al " &amp;Criterios!D$6</f>
        <v>Año:  2021          Trimestre   1 al 4</v>
      </c>
      <c r="D5" s="1847" t="s">
        <v>495</v>
      </c>
      <c r="E5" s="1847" t="s">
        <v>762</v>
      </c>
      <c r="F5" s="1885" t="s">
        <v>531</v>
      </c>
      <c r="G5" s="1847" t="s">
        <v>176</v>
      </c>
      <c r="H5" s="1847" t="s">
        <v>795</v>
      </c>
      <c r="I5" s="1847" t="s">
        <v>763</v>
      </c>
      <c r="J5" s="1847" t="s">
        <v>880</v>
      </c>
      <c r="K5" s="1847" t="s">
        <v>764</v>
      </c>
      <c r="L5" s="1847" t="s">
        <v>719</v>
      </c>
      <c r="M5" s="1877" t="s">
        <v>793</v>
      </c>
      <c r="N5" s="1847" t="s">
        <v>937</v>
      </c>
      <c r="O5" s="1847" t="s">
        <v>896</v>
      </c>
      <c r="P5" s="1847" t="s">
        <v>232</v>
      </c>
      <c r="Q5" s="1880" t="s">
        <v>892</v>
      </c>
      <c r="R5" s="1880" t="s">
        <v>938</v>
      </c>
      <c r="S5" s="1847" t="s">
        <v>796</v>
      </c>
      <c r="T5" s="1880" t="s">
        <v>765</v>
      </c>
      <c r="U5" s="1880" t="s">
        <v>1055</v>
      </c>
      <c r="V5" s="1880" t="s">
        <v>1056</v>
      </c>
      <c r="W5" s="1850" t="s">
        <v>821</v>
      </c>
      <c r="X5" s="1853" t="s">
        <v>766</v>
      </c>
      <c r="Y5" s="1850" t="s">
        <v>767</v>
      </c>
      <c r="Z5" s="1850" t="s">
        <v>768</v>
      </c>
      <c r="AA5" s="1847" t="s">
        <v>897</v>
      </c>
      <c r="AB5" s="1847" t="s">
        <v>903</v>
      </c>
      <c r="AC5" s="1847" t="s">
        <v>246</v>
      </c>
      <c r="AD5" s="1862" t="s">
        <v>244</v>
      </c>
      <c r="AE5" s="1847" t="s">
        <v>898</v>
      </c>
      <c r="AF5" s="1865" t="s">
        <v>899</v>
      </c>
      <c r="AG5" s="1868" t="s">
        <v>728</v>
      </c>
      <c r="AH5" s="1847" t="s">
        <v>729</v>
      </c>
      <c r="AI5" s="1847" t="s">
        <v>819</v>
      </c>
      <c r="AJ5" s="1871" t="s">
        <v>820</v>
      </c>
      <c r="AK5" s="1868" t="s">
        <v>247</v>
      </c>
      <c r="AL5" s="1847" t="s">
        <v>772</v>
      </c>
      <c r="AM5" s="1847" t="s">
        <v>325</v>
      </c>
      <c r="AN5" s="1847" t="s">
        <v>326</v>
      </c>
      <c r="AO5" s="1847" t="s">
        <v>327</v>
      </c>
      <c r="AP5" s="1847" t="s">
        <v>773</v>
      </c>
      <c r="AQ5" s="1847" t="s">
        <v>328</v>
      </c>
      <c r="AR5" s="1847" t="s">
        <v>774</v>
      </c>
      <c r="AS5" s="1847" t="s">
        <v>775</v>
      </c>
      <c r="AT5" s="1847" t="s">
        <v>776</v>
      </c>
      <c r="AU5" s="1847" t="s">
        <v>804</v>
      </c>
      <c r="AV5" s="1847" t="s">
        <v>797</v>
      </c>
      <c r="AW5" s="1847" t="s">
        <v>440</v>
      </c>
      <c r="AX5" s="1847" t="s">
        <v>798</v>
      </c>
      <c r="AY5" s="1847" t="s">
        <v>777</v>
      </c>
      <c r="AZ5" s="1847" t="s">
        <v>727</v>
      </c>
      <c r="BT5" s="1847" t="s">
        <v>1057</v>
      </c>
    </row>
    <row r="6" spans="1:72" ht="21.75" customHeight="1">
      <c r="A6" s="1901"/>
      <c r="B6" s="883"/>
      <c r="C6" s="1903"/>
      <c r="D6" s="1848"/>
      <c r="E6" s="1848"/>
      <c r="F6" s="1886"/>
      <c r="G6" s="1848"/>
      <c r="H6" s="1848"/>
      <c r="I6" s="1848"/>
      <c r="J6" s="1848"/>
      <c r="K6" s="1848"/>
      <c r="L6" s="1848"/>
      <c r="M6" s="1878"/>
      <c r="N6" s="1848"/>
      <c r="O6" s="1848"/>
      <c r="P6" s="1848"/>
      <c r="Q6" s="1881"/>
      <c r="R6" s="1881"/>
      <c r="S6" s="1848"/>
      <c r="T6" s="1881"/>
      <c r="U6" s="1881"/>
      <c r="V6" s="1881"/>
      <c r="W6" s="1851"/>
      <c r="X6" s="1854"/>
      <c r="Y6" s="1851"/>
      <c r="Z6" s="1851"/>
      <c r="AA6" s="1848"/>
      <c r="AB6" s="1848"/>
      <c r="AC6" s="1848"/>
      <c r="AD6" s="1863"/>
      <c r="AE6" s="1848"/>
      <c r="AF6" s="1866"/>
      <c r="AG6" s="1869"/>
      <c r="AH6" s="1848"/>
      <c r="AI6" s="1848"/>
      <c r="AJ6" s="1872"/>
      <c r="AK6" s="1869"/>
      <c r="AL6" s="1848"/>
      <c r="AM6" s="1848"/>
      <c r="AN6" s="1848"/>
      <c r="AO6" s="1848"/>
      <c r="AP6" s="1848"/>
      <c r="AQ6" s="1848"/>
      <c r="AR6" s="1848"/>
      <c r="AS6" s="1848"/>
      <c r="AT6" s="1848"/>
      <c r="AU6" s="1848"/>
      <c r="AV6" s="1848"/>
      <c r="AW6" s="1848"/>
      <c r="AX6" s="1848"/>
      <c r="AY6" s="1848"/>
      <c r="AZ6" s="1848"/>
      <c r="BT6" s="1848"/>
    </row>
    <row r="7" spans="1:72" ht="38.25" customHeight="1" thickBot="1">
      <c r="A7" s="1902"/>
      <c r="B7" s="884"/>
      <c r="C7" s="885" t="str">
        <f>DatosP!A7</f>
        <v>COMPETENCIAS</v>
      </c>
      <c r="D7" s="1849"/>
      <c r="E7" s="1849"/>
      <c r="F7" s="1887"/>
      <c r="G7" s="1849"/>
      <c r="H7" s="1849"/>
      <c r="I7" s="1849"/>
      <c r="J7" s="1849"/>
      <c r="K7" s="1849"/>
      <c r="L7" s="1849"/>
      <c r="M7" s="1879"/>
      <c r="N7" s="1849"/>
      <c r="O7" s="1849"/>
      <c r="P7" s="1849"/>
      <c r="Q7" s="1882"/>
      <c r="R7" s="1882"/>
      <c r="S7" s="1849"/>
      <c r="T7" s="1882"/>
      <c r="U7" s="1882"/>
      <c r="V7" s="1882"/>
      <c r="W7" s="1852"/>
      <c r="X7" s="1855"/>
      <c r="Y7" s="1852"/>
      <c r="Z7" s="1852"/>
      <c r="AA7" s="1849"/>
      <c r="AB7" s="1849"/>
      <c r="AC7" s="1849"/>
      <c r="AD7" s="1864"/>
      <c r="AE7" s="1849"/>
      <c r="AF7" s="1867"/>
      <c r="AG7" s="1870"/>
      <c r="AH7" s="1849"/>
      <c r="AI7" s="1849"/>
      <c r="AJ7" s="1873"/>
      <c r="AK7" s="1870"/>
      <c r="AL7" s="1849"/>
      <c r="AM7" s="1849"/>
      <c r="AN7" s="1849"/>
      <c r="AO7" s="1849"/>
      <c r="AP7" s="1849"/>
      <c r="AQ7" s="1849"/>
      <c r="AR7" s="1849"/>
      <c r="AS7" s="1849"/>
      <c r="AT7" s="1849"/>
      <c r="AU7" s="1849"/>
      <c r="AV7" s="1849"/>
      <c r="AW7" s="1849"/>
      <c r="AX7" s="1849"/>
      <c r="AY7" s="1849"/>
      <c r="AZ7" s="1849"/>
      <c r="BT7" s="1849"/>
    </row>
    <row r="8" spans="1:72" ht="15" thickTop="1">
      <c r="A8" s="886"/>
      <c r="B8" s="886"/>
      <c r="C8" s="174" t="str">
        <f>DatosP!A8</f>
        <v>Jurisdicción Civil ( 1 ):</v>
      </c>
      <c r="D8" s="887"/>
      <c r="E8" s="887"/>
      <c r="F8" s="888"/>
      <c r="G8" s="889"/>
      <c r="H8" s="890"/>
      <c r="I8" s="888"/>
      <c r="J8" s="890"/>
      <c r="K8" s="890"/>
      <c r="L8" s="890"/>
      <c r="M8" s="891"/>
      <c r="N8" s="891"/>
      <c r="O8" s="890"/>
      <c r="P8" s="890"/>
      <c r="Q8" s="892"/>
      <c r="R8" s="892"/>
      <c r="S8" s="890"/>
      <c r="T8" s="892"/>
      <c r="U8" s="325"/>
      <c r="V8" s="1355"/>
      <c r="W8" s="893"/>
      <c r="X8" s="894"/>
      <c r="Y8" s="888"/>
      <c r="Z8" s="890"/>
      <c r="AA8" s="888"/>
      <c r="AB8" s="890"/>
      <c r="AC8" s="895"/>
      <c r="AD8" s="888"/>
      <c r="AE8" s="890"/>
      <c r="AF8" s="896"/>
      <c r="AG8" s="897"/>
      <c r="AH8" s="898"/>
      <c r="AI8" s="897"/>
      <c r="AJ8" s="898"/>
      <c r="AK8" s="888"/>
      <c r="AL8" s="890"/>
      <c r="AM8" s="899"/>
      <c r="AN8" s="900"/>
      <c r="AO8" s="1062"/>
      <c r="AP8" s="1063"/>
      <c r="AQ8" s="893"/>
      <c r="AR8" s="901"/>
      <c r="AS8" s="901"/>
      <c r="AT8" s="902"/>
      <c r="AU8" s="903"/>
      <c r="AV8" s="903"/>
      <c r="AW8" s="901"/>
      <c r="AX8" s="901"/>
      <c r="AY8" s="904"/>
      <c r="AZ8" s="905"/>
      <c r="BT8" s="546"/>
    </row>
    <row r="9" spans="1:72" s="859" customFormat="1" ht="14.25">
      <c r="A9" s="749">
        <f>DatosP!AO9</f>
        <v>0</v>
      </c>
      <c r="B9" s="749" t="s">
        <v>324</v>
      </c>
      <c r="C9" s="770" t="str">
        <f>DatosP!A9</f>
        <v xml:space="preserve">Jdos. 1ª Instancia   </v>
      </c>
      <c r="D9" s="597"/>
      <c r="E9" s="907"/>
      <c r="F9" s="908"/>
      <c r="G9" s="909"/>
      <c r="H9" s="910"/>
      <c r="I9" s="908"/>
      <c r="J9" s="910"/>
      <c r="K9" s="910"/>
      <c r="L9" s="910"/>
      <c r="M9" s="907"/>
      <c r="N9" s="907"/>
      <c r="O9" s="910"/>
      <c r="P9" s="910"/>
      <c r="Q9" s="1508"/>
      <c r="R9" s="1508"/>
      <c r="S9" s="910"/>
      <c r="T9" s="983"/>
      <c r="U9" s="551"/>
      <c r="V9" s="1356"/>
      <c r="W9" s="908"/>
      <c r="X9" s="983"/>
      <c r="Y9" s="908"/>
      <c r="Z9" s="910"/>
      <c r="AA9" s="913"/>
      <c r="AB9" s="914"/>
      <c r="AC9" s="907"/>
      <c r="AD9" s="908"/>
      <c r="AE9" s="915"/>
      <c r="AF9" s="916"/>
      <c r="AG9" s="915"/>
      <c r="AH9" s="916"/>
      <c r="AI9" s="915"/>
      <c r="AJ9" s="916"/>
      <c r="AK9" s="908"/>
      <c r="AL9" s="917"/>
      <c r="AM9" s="917"/>
      <c r="AN9" s="918"/>
      <c r="AO9" s="919"/>
      <c r="AP9" s="920"/>
      <c r="AQ9" s="919"/>
      <c r="AR9" s="921"/>
      <c r="AS9" s="921"/>
      <c r="AT9" s="922"/>
      <c r="AU9" s="923"/>
      <c r="AV9" s="923"/>
      <c r="AW9" s="924"/>
      <c r="AX9" s="924"/>
      <c r="AY9" s="924"/>
      <c r="AZ9" s="925"/>
      <c r="BT9" s="1382">
        <f>DatosP!ER9/factor_trimestre</f>
        <v>0</v>
      </c>
    </row>
    <row r="10" spans="1:72" s="859" customFormat="1" ht="14.25">
      <c r="A10" s="749">
        <f>DatosP!AO10</f>
        <v>0</v>
      </c>
      <c r="B10" s="750" t="s">
        <v>324</v>
      </c>
      <c r="C10" s="751" t="str">
        <f>DatosP!A10</f>
        <v>Jdos. Violencia contra la mujer</v>
      </c>
      <c r="D10" s="605"/>
      <c r="E10" s="907"/>
      <c r="F10" s="908"/>
      <c r="G10" s="909"/>
      <c r="H10" s="910"/>
      <c r="I10" s="908"/>
      <c r="J10" s="910"/>
      <c r="K10" s="910"/>
      <c r="L10" s="910"/>
      <c r="M10" s="907"/>
      <c r="N10" s="907"/>
      <c r="O10" s="910"/>
      <c r="P10" s="910"/>
      <c r="Q10" s="1508"/>
      <c r="R10" s="1508"/>
      <c r="S10" s="910"/>
      <c r="T10" s="983"/>
      <c r="U10" s="551"/>
      <c r="V10" s="1356"/>
      <c r="W10" s="908"/>
      <c r="X10" s="983"/>
      <c r="Y10" s="908"/>
      <c r="Z10" s="910"/>
      <c r="AA10" s="913"/>
      <c r="AB10" s="914"/>
      <c r="AC10" s="907"/>
      <c r="AD10" s="908"/>
      <c r="AE10" s="915"/>
      <c r="AF10" s="916"/>
      <c r="AG10" s="915"/>
      <c r="AH10" s="916"/>
      <c r="AI10" s="915"/>
      <c r="AJ10" s="916"/>
      <c r="AK10" s="908"/>
      <c r="AL10" s="917"/>
      <c r="AM10" s="917"/>
      <c r="AN10" s="918"/>
      <c r="AO10" s="919"/>
      <c r="AP10" s="920"/>
      <c r="AQ10" s="919"/>
      <c r="AR10" s="921"/>
      <c r="AS10" s="921"/>
      <c r="AT10" s="922"/>
      <c r="AU10" s="923"/>
      <c r="AV10" s="923"/>
      <c r="AW10" s="924"/>
      <c r="AX10" s="924"/>
      <c r="AY10" s="924"/>
      <c r="AZ10" s="925"/>
      <c r="BT10" s="1382">
        <f>DatosP!ER10/factor_trimestre</f>
        <v>0</v>
      </c>
    </row>
    <row r="11" spans="1:72" s="859" customFormat="1" ht="14.25">
      <c r="A11" s="749">
        <f>DatosP!AO11</f>
        <v>0</v>
      </c>
      <c r="B11" s="750" t="s">
        <v>324</v>
      </c>
      <c r="C11" s="751" t="str">
        <f>DatosP!A11</f>
        <v xml:space="preserve">Jdos. Familia                                   </v>
      </c>
      <c r="D11" s="605"/>
      <c r="E11" s="907"/>
      <c r="F11" s="908"/>
      <c r="G11" s="909"/>
      <c r="H11" s="910"/>
      <c r="I11" s="908"/>
      <c r="J11" s="910"/>
      <c r="K11" s="910"/>
      <c r="L11" s="910"/>
      <c r="M11" s="907"/>
      <c r="N11" s="907"/>
      <c r="O11" s="910"/>
      <c r="P11" s="910"/>
      <c r="Q11" s="1508"/>
      <c r="R11" s="1508"/>
      <c r="S11" s="910"/>
      <c r="T11" s="983"/>
      <c r="U11" s="551"/>
      <c r="V11" s="1356"/>
      <c r="W11" s="908"/>
      <c r="X11" s="983"/>
      <c r="Y11" s="908"/>
      <c r="Z11" s="910"/>
      <c r="AA11" s="913"/>
      <c r="AB11" s="914"/>
      <c r="AC11" s="907"/>
      <c r="AD11" s="908"/>
      <c r="AE11" s="915"/>
      <c r="AF11" s="916"/>
      <c r="AG11" s="915"/>
      <c r="AH11" s="916"/>
      <c r="AI11" s="915"/>
      <c r="AJ11" s="916"/>
      <c r="AK11" s="908"/>
      <c r="AL11" s="917"/>
      <c r="AM11" s="917"/>
      <c r="AN11" s="918"/>
      <c r="AO11" s="919"/>
      <c r="AP11" s="920"/>
      <c r="AQ11" s="919"/>
      <c r="AR11" s="921"/>
      <c r="AS11" s="921"/>
      <c r="AT11" s="922"/>
      <c r="AU11" s="923"/>
      <c r="AV11" s="923"/>
      <c r="AW11" s="924"/>
      <c r="AX11" s="924"/>
      <c r="AY11" s="924"/>
      <c r="AZ11" s="925"/>
      <c r="BT11" s="1382">
        <f>DatosP!ER11/factor_trimestre</f>
        <v>0</v>
      </c>
    </row>
    <row r="12" spans="1:72" s="859" customFormat="1" ht="14.25">
      <c r="A12" s="749">
        <f>DatosP!AO12</f>
        <v>0</v>
      </c>
      <c r="B12" s="750" t="s">
        <v>324</v>
      </c>
      <c r="C12" s="751" t="str">
        <f>DatosP!A12</f>
        <v xml:space="preserve">Jdos. 1ª Instª. e Instr.                        </v>
      </c>
      <c r="D12" s="605"/>
      <c r="E12" s="907"/>
      <c r="F12" s="908"/>
      <c r="G12" s="909"/>
      <c r="H12" s="910"/>
      <c r="I12" s="908"/>
      <c r="J12" s="910"/>
      <c r="K12" s="910"/>
      <c r="L12" s="910"/>
      <c r="M12" s="907"/>
      <c r="N12" s="907"/>
      <c r="O12" s="910"/>
      <c r="P12" s="910"/>
      <c r="Q12" s="1508"/>
      <c r="R12" s="1508"/>
      <c r="S12" s="910"/>
      <c r="T12" s="983"/>
      <c r="U12" s="551"/>
      <c r="V12" s="1356"/>
      <c r="W12" s="908"/>
      <c r="X12" s="983"/>
      <c r="Y12" s="908"/>
      <c r="Z12" s="910"/>
      <c r="AA12" s="913"/>
      <c r="AB12" s="914"/>
      <c r="AC12" s="907"/>
      <c r="AD12" s="908"/>
      <c r="AE12" s="915"/>
      <c r="AF12" s="916"/>
      <c r="AG12" s="915"/>
      <c r="AH12" s="916"/>
      <c r="AI12" s="915"/>
      <c r="AJ12" s="916"/>
      <c r="AK12" s="908"/>
      <c r="AL12" s="917"/>
      <c r="AM12" s="917"/>
      <c r="AN12" s="918"/>
      <c r="AO12" s="919"/>
      <c r="AP12" s="920"/>
      <c r="AQ12" s="919"/>
      <c r="AR12" s="921"/>
      <c r="AS12" s="921"/>
      <c r="AT12" s="922"/>
      <c r="AU12" s="923"/>
      <c r="AV12" s="923"/>
      <c r="AW12" s="924"/>
      <c r="AX12" s="924"/>
      <c r="AY12" s="924"/>
      <c r="AZ12" s="925"/>
      <c r="BT12" s="1382">
        <f>DatosP!ER12/factor_trimestre</f>
        <v>0</v>
      </c>
    </row>
    <row r="13" spans="1:72" s="859" customFormat="1" ht="15" thickBot="1">
      <c r="A13" s="749">
        <f>DatosP!AO13</f>
        <v>0</v>
      </c>
      <c r="B13" s="750" t="s">
        <v>324</v>
      </c>
      <c r="C13" s="751" t="str">
        <f>DatosP!A13</f>
        <v xml:space="preserve">Jdos. de Menores    </v>
      </c>
      <c r="D13" s="605"/>
      <c r="E13" s="907"/>
      <c r="F13" s="908"/>
      <c r="G13" s="909"/>
      <c r="H13" s="910"/>
      <c r="I13" s="908"/>
      <c r="J13" s="910"/>
      <c r="K13" s="910"/>
      <c r="L13" s="910"/>
      <c r="M13" s="907"/>
      <c r="N13" s="907"/>
      <c r="O13" s="910"/>
      <c r="P13" s="910"/>
      <c r="Q13" s="1508"/>
      <c r="R13" s="1508"/>
      <c r="S13" s="910"/>
      <c r="T13" s="983"/>
      <c r="U13" s="551"/>
      <c r="V13" s="1356"/>
      <c r="W13" s="908"/>
      <c r="X13" s="983"/>
      <c r="Y13" s="908"/>
      <c r="Z13" s="910"/>
      <c r="AA13" s="913"/>
      <c r="AB13" s="914"/>
      <c r="AC13" s="907"/>
      <c r="AD13" s="908"/>
      <c r="AE13" s="915"/>
      <c r="AF13" s="916"/>
      <c r="AG13" s="915"/>
      <c r="AH13" s="916"/>
      <c r="AI13" s="915"/>
      <c r="AJ13" s="916"/>
      <c r="AK13" s="908"/>
      <c r="AL13" s="917"/>
      <c r="AM13" s="917"/>
      <c r="AN13" s="918"/>
      <c r="AO13" s="919"/>
      <c r="AP13" s="920"/>
      <c r="AQ13" s="919"/>
      <c r="AR13" s="921"/>
      <c r="AS13" s="921"/>
      <c r="AT13" s="922"/>
      <c r="AU13" s="923"/>
      <c r="AV13" s="923"/>
      <c r="AW13" s="924"/>
      <c r="AX13" s="924"/>
      <c r="AY13" s="924"/>
      <c r="AZ13" s="925"/>
      <c r="BT13" s="1382">
        <f>DatosP!ER13/factor_trimestre</f>
        <v>0</v>
      </c>
    </row>
    <row r="14" spans="1:72" ht="15.75" thickTop="1" thickBot="1">
      <c r="A14" s="938"/>
      <c r="B14" s="938"/>
      <c r="C14" s="1259" t="str">
        <f>DatosP!A14</f>
        <v>TOTAL</v>
      </c>
      <c r="D14" s="1260"/>
      <c r="E14" s="1260">
        <f t="shared" ref="E14:W14" si="0">SUBTOTAL(9,E8:E13)</f>
        <v>0</v>
      </c>
      <c r="F14" s="1261">
        <f t="shared" si="0"/>
        <v>0</v>
      </c>
      <c r="G14" s="1261">
        <f t="shared" si="0"/>
        <v>0</v>
      </c>
      <c r="H14" s="1262">
        <f t="shared" si="0"/>
        <v>0</v>
      </c>
      <c r="I14" s="1261">
        <f t="shared" si="0"/>
        <v>0</v>
      </c>
      <c r="J14" s="1263">
        <f t="shared" si="0"/>
        <v>0</v>
      </c>
      <c r="K14" s="1262">
        <f t="shared" si="0"/>
        <v>0</v>
      </c>
      <c r="L14" s="1262">
        <f t="shared" si="0"/>
        <v>0</v>
      </c>
      <c r="M14" s="1264">
        <f t="shared" si="0"/>
        <v>0</v>
      </c>
      <c r="N14" s="1264">
        <f t="shared" si="0"/>
        <v>0</v>
      </c>
      <c r="O14" s="1262">
        <f t="shared" si="0"/>
        <v>0</v>
      </c>
      <c r="P14" s="1262">
        <f t="shared" si="0"/>
        <v>0</v>
      </c>
      <c r="Q14" s="1509">
        <f t="shared" si="0"/>
        <v>0</v>
      </c>
      <c r="R14" s="1509">
        <f t="shared" si="0"/>
        <v>0</v>
      </c>
      <c r="S14" s="1262">
        <f t="shared" si="0"/>
        <v>0</v>
      </c>
      <c r="T14" s="1509">
        <f t="shared" si="0"/>
        <v>0</v>
      </c>
      <c r="U14" s="1167">
        <f t="shared" si="0"/>
        <v>0</v>
      </c>
      <c r="V14" s="1357">
        <f t="shared" si="0"/>
        <v>0</v>
      </c>
      <c r="W14" s="1262">
        <f t="shared" si="0"/>
        <v>0</v>
      </c>
      <c r="X14" s="1266" t="str">
        <f>IF(ISNUMBER((W14*factor_trimestre)/DatosP!CN14),(W14*factor_trimestre)/DatosP!CN14,"-")</f>
        <v>-</v>
      </c>
      <c r="Y14" s="1262">
        <f t="shared" ref="Y14:AN14" si="1">SUBTOTAL(9,Y8:Y13)</f>
        <v>0</v>
      </c>
      <c r="Z14" s="1262">
        <f t="shared" si="1"/>
        <v>0</v>
      </c>
      <c r="AA14" s="1262">
        <f t="shared" si="1"/>
        <v>0</v>
      </c>
      <c r="AB14" s="1262">
        <f t="shared" si="1"/>
        <v>0</v>
      </c>
      <c r="AC14" s="1262">
        <f t="shared" si="1"/>
        <v>0</v>
      </c>
      <c r="AD14" s="1262">
        <f t="shared" si="1"/>
        <v>0</v>
      </c>
      <c r="AE14" s="1262">
        <f t="shared" si="1"/>
        <v>0</v>
      </c>
      <c r="AF14" s="1262">
        <f t="shared" si="1"/>
        <v>0</v>
      </c>
      <c r="AG14" s="1262">
        <f t="shared" si="1"/>
        <v>0</v>
      </c>
      <c r="AH14" s="1262">
        <f t="shared" si="1"/>
        <v>0</v>
      </c>
      <c r="AI14" s="1262">
        <f t="shared" si="1"/>
        <v>0</v>
      </c>
      <c r="AJ14" s="1262">
        <f t="shared" si="1"/>
        <v>0</v>
      </c>
      <c r="AK14" s="1262">
        <f t="shared" si="1"/>
        <v>0</v>
      </c>
      <c r="AL14" s="1262">
        <f t="shared" si="1"/>
        <v>0</v>
      </c>
      <c r="AM14" s="1262">
        <f t="shared" si="1"/>
        <v>0</v>
      </c>
      <c r="AN14" s="1262">
        <f t="shared" si="1"/>
        <v>0</v>
      </c>
      <c r="AO14" s="1262" t="str">
        <f>IF(ISNUMBER(DatosP!K14/DatosP!J14),DatosP!K14/DatosP!J14," - ")</f>
        <v xml:space="preserve"> - </v>
      </c>
      <c r="AP14" s="1267" t="str">
        <f>IF(ISNUMBER(((DatosP!L14/DatosP!K14)*11)/factor_trimestre),((DatosP!L14/DatosP!K14)*11)/factor_trimestre," - ")</f>
        <v xml:space="preserve"> - </v>
      </c>
      <c r="AQ14" s="1262">
        <f>IF(ISNUMBER('Resol  Asuntos'!D14/NºAsuntos!G14),'Resol  Asuntos'!D14/NºAsuntos!G14," - ")</f>
        <v>0.26415636677206095</v>
      </c>
      <c r="AR14" s="1262" t="str">
        <f>IF(ISNUMBER(DatosP!CI14/DatosP!CJ14),DatosP!CI14/DatosP!CJ14," - ")</f>
        <v xml:space="preserve"> - </v>
      </c>
      <c r="AS14" s="1268" t="str">
        <f>IF(ISNUMBER((I14-Y14+K14)/(F14-K14)),(I14-Y14+K14)/(F14-K14)," - ")</f>
        <v xml:space="preserve"> - </v>
      </c>
      <c r="AT14" s="1268">
        <f>SUBTOTAL(9,AT9:AT13)</f>
        <v>0</v>
      </c>
      <c r="AU14" s="1262">
        <f>SUBTOTAL(9,AU8:AU13)</f>
        <v>0</v>
      </c>
      <c r="AV14" s="1262">
        <f>SUBTOTAL(9,AV8:AV13)</f>
        <v>0</v>
      </c>
      <c r="AW14" s="1262">
        <f>SUBTOTAL(9,AW8:AW13)</f>
        <v>0</v>
      </c>
      <c r="AX14" s="1262">
        <f>SUBTOTAL(9,AX8:AX13)</f>
        <v>0</v>
      </c>
      <c r="AY14" s="1262"/>
      <c r="AZ14" s="1262"/>
      <c r="BT14" s="1201"/>
    </row>
    <row r="15" spans="1:72" ht="15" thickTop="1">
      <c r="A15" s="608"/>
      <c r="B15" s="608"/>
      <c r="C15" s="311" t="str">
        <f>DatosP!A15</f>
        <v xml:space="preserve">Jurisdicción Penal ( 2 ):                      </v>
      </c>
      <c r="D15" s="610"/>
      <c r="E15" s="941"/>
      <c r="F15" s="942"/>
      <c r="G15" s="943"/>
      <c r="H15" s="944"/>
      <c r="I15" s="945"/>
      <c r="J15" s="890"/>
      <c r="K15" s="944"/>
      <c r="L15" s="927"/>
      <c r="M15" s="944"/>
      <c r="N15" s="944"/>
      <c r="O15" s="927"/>
      <c r="P15" s="927"/>
      <c r="Q15" s="1510"/>
      <c r="R15" s="1510"/>
      <c r="S15" s="927"/>
      <c r="T15" s="947"/>
      <c r="U15" s="326"/>
      <c r="V15" s="1358"/>
      <c r="W15" s="929"/>
      <c r="X15" s="947"/>
      <c r="Y15" s="929"/>
      <c r="Z15" s="927"/>
      <c r="AA15" s="945"/>
      <c r="AB15" s="931"/>
      <c r="AC15" s="930"/>
      <c r="AD15" s="929"/>
      <c r="AE15" s="897"/>
      <c r="AF15" s="898"/>
      <c r="AG15" s="897"/>
      <c r="AH15" s="898"/>
      <c r="AI15" s="897"/>
      <c r="AJ15" s="898"/>
      <c r="AK15" s="929"/>
      <c r="AL15" s="932"/>
      <c r="AM15" s="932"/>
      <c r="AN15" s="933"/>
      <c r="AO15" s="919"/>
      <c r="AP15" s="920"/>
      <c r="AQ15" s="934"/>
      <c r="AR15" s="935"/>
      <c r="AS15" s="935"/>
      <c r="AT15" s="948"/>
      <c r="AU15" s="949"/>
      <c r="AV15" s="949"/>
      <c r="AW15" s="936"/>
      <c r="AX15" s="950"/>
      <c r="AY15" s="936"/>
      <c r="AZ15" s="937"/>
      <c r="BT15" s="550"/>
    </row>
    <row r="16" spans="1:72" s="960" customFormat="1" ht="15">
      <c r="A16" s="740">
        <f>DatosP!AO16</f>
        <v>0</v>
      </c>
      <c r="B16" s="741" t="s">
        <v>515</v>
      </c>
      <c r="C16" s="754" t="str">
        <f>DatosP!A16</f>
        <v xml:space="preserve">Jdos. Instrucción                               </v>
      </c>
      <c r="D16" s="755"/>
      <c r="E16" s="952"/>
      <c r="F16" s="953"/>
      <c r="G16" s="954"/>
      <c r="H16" s="955"/>
      <c r="I16" s="953"/>
      <c r="J16" s="927"/>
      <c r="K16" s="955"/>
      <c r="L16" s="927"/>
      <c r="M16" s="956"/>
      <c r="N16" s="956"/>
      <c r="O16" s="927"/>
      <c r="P16" s="927"/>
      <c r="Q16" s="1511"/>
      <c r="R16" s="1511"/>
      <c r="S16" s="927"/>
      <c r="T16" s="947"/>
      <c r="U16" s="551" t="str">
        <f>IF(ISNUMBER(DatosP!EO16),DatosP!EO16," - ")</f>
        <v xml:space="preserve"> - </v>
      </c>
      <c r="V16" s="1356" t="e">
        <f>(U16/DatosP!ER16)*factor_trimestre</f>
        <v>#VALUE!</v>
      </c>
      <c r="W16" s="929"/>
      <c r="X16" s="947"/>
      <c r="Y16" s="929"/>
      <c r="Z16" s="927"/>
      <c r="AA16" s="958"/>
      <c r="AB16" s="931"/>
      <c r="AC16" s="930"/>
      <c r="AD16" s="929"/>
      <c r="AE16" s="897"/>
      <c r="AF16" s="898"/>
      <c r="AG16" s="897"/>
      <c r="AH16" s="898"/>
      <c r="AI16" s="897"/>
      <c r="AJ16" s="898"/>
      <c r="AK16" s="929"/>
      <c r="AL16" s="932"/>
      <c r="AM16" s="932"/>
      <c r="AN16" s="933"/>
      <c r="AO16" s="919" t="str">
        <f>IF(ISNUMBER(IF(D_I="SI",DatosP!K16/DatosP!J16,(DatosP!K16+DatosP!AE16)/(DatosP!J16+DatosP!AD16))),IF(D_I="SI",DatosP!K16/DatosP!J16,(DatosP!K16+DatosP!AE16)/(DatosP!J16+DatosP!AD16))," - ")</f>
        <v xml:space="preserve"> - </v>
      </c>
      <c r="AP16" s="920" t="str">
        <f>IF(ISNUMBER(((IF(D_I="SI",DatosP!L16/DatosP!K16,(DatosP!L16+DatosP!AF16)/(DatosP!K16+DatosP!AE16)))*11)/factor_trimestre),((IF(D_I="SI",DatosP!L16/DatosP!K16,(DatosP!L16+DatosP!AF16)/(DatosP!K16+DatosP!AE16)))*11)/factor_trimestre," - ")</f>
        <v xml:space="preserve"> - </v>
      </c>
      <c r="AQ16" s="934"/>
      <c r="AR16" s="935"/>
      <c r="AS16" s="935"/>
      <c r="AT16" s="948"/>
      <c r="AU16" s="959"/>
      <c r="AV16" s="959"/>
      <c r="AW16" s="936"/>
      <c r="AX16" s="952"/>
      <c r="AY16" s="936"/>
      <c r="AZ16" s="937"/>
      <c r="BT16" s="1382">
        <f>DatosP!ER16/factor_trimestre</f>
        <v>0</v>
      </c>
    </row>
    <row r="17" spans="1:72" s="859" customFormat="1" ht="15">
      <c r="A17" s="749">
        <f>DatosP!AO17</f>
        <v>0</v>
      </c>
      <c r="B17" s="750" t="s">
        <v>515</v>
      </c>
      <c r="C17" s="770" t="str">
        <f>DatosP!A17</f>
        <v xml:space="preserve">Jdos. 1ª Instª. e Instr.                        </v>
      </c>
      <c r="D17" s="597"/>
      <c r="E17" s="924" t="str">
        <f>IF(ISNUMBER(DatosP!AQ17),DatosP!AQ17," - ")</f>
        <v xml:space="preserve"> - </v>
      </c>
      <c r="F17" s="908" t="str">
        <f>IF(ISNUMBER(AA17+Y17-DatosP!J17-K17),AA17+Y17-DatosP!J17-K17," - ")</f>
        <v xml:space="preserve"> - </v>
      </c>
      <c r="G17" s="909" t="str">
        <f>IF(ISNUMBER(IF(D_I="SI",DatosP!I17,DatosP!I17+DatosP!AC17)),IF(D_I="SI",DatosP!I17,DatosP!I17+DatosP!AC17)," - ")</f>
        <v xml:space="preserve"> - </v>
      </c>
      <c r="H17" s="910"/>
      <c r="I17" s="908" t="str">
        <f>IF(ISNUMBER(DatosP!DC17),DatosP!DC17," - ")</f>
        <v xml:space="preserve"> - </v>
      </c>
      <c r="J17" s="910" t="str">
        <f>IF(ISNUMBER(DatosP!DC17),DatosP!DC17," - ")</f>
        <v xml:space="preserve"> - </v>
      </c>
      <c r="K17" s="910">
        <f>IF(ISNUMBER(DatosP!DF17),DatosP!DF17,0)</f>
        <v>0</v>
      </c>
      <c r="L17" s="910">
        <f>IF(ISNUMBER(DatosP!DM17),DatosP!DM17,0)</f>
        <v>0</v>
      </c>
      <c r="M17" s="907"/>
      <c r="N17" s="907"/>
      <c r="O17" s="910">
        <f>IF(ISNUMBER(DatosP!P17),DatosP!P17,0)</f>
        <v>0</v>
      </c>
      <c r="P17" s="910" t="str">
        <f>IF(ISNUMBER(DatosP!DE17),DatosP!DE17," - ")</f>
        <v xml:space="preserve"> - </v>
      </c>
      <c r="Q17" s="1508"/>
      <c r="R17" s="1508"/>
      <c r="S17" s="910" t="str">
        <f>IF(ISNUMBER(DatosP!AS17/E17),DatosP!AS17/E17," - ")</f>
        <v xml:space="preserve"> - </v>
      </c>
      <c r="T17" s="983" t="str">
        <f>IF(ISNUMBER(S17/(DatosP!BM17/factor_trimestre)),S17/(DatosP!BM17/factor_trimestre)," - ")</f>
        <v xml:space="preserve"> - </v>
      </c>
      <c r="U17" s="551" t="str">
        <f>IF(ISNUMBER(DatosP!EO17),DatosP!EO17," - ")</f>
        <v xml:space="preserve"> - </v>
      </c>
      <c r="V17" s="1356" t="e">
        <f>(U17/DatosP!ER17)*factor_trimestre</f>
        <v>#VALUE!</v>
      </c>
      <c r="W17" s="908" t="str">
        <f>IF(ISNUMBER(DatosP!BY17),DatosP!BY17," - ")</f>
        <v xml:space="preserve"> - </v>
      </c>
      <c r="X17" s="983" t="str">
        <f>IF(ISNUMBER((W17*factor_trimestre)/DatosP!CN17),(W17*factor_trimestre)/DatosP!CN17,"-")</f>
        <v>-</v>
      </c>
      <c r="Y17" s="908" t="str">
        <f>IF(ISNUMBER(IF(D_I="SI",DatosP!K17,DatosP!K17+DatosP!AE17)),IF(D_I="SI",DatosP!K17,DatosP!K17+DatosP!AE17)," - ")</f>
        <v xml:space="preserve"> - </v>
      </c>
      <c r="Z17" s="910" t="str">
        <f>IF(ISNUMBER(DatosP!Q17),DatosP!Q17," - ")</f>
        <v xml:space="preserve"> - </v>
      </c>
      <c r="AA17" s="913" t="str">
        <f>IF(ISNUMBER(IF(D_I="SI",DatosP!L17,DatosP!L17+DatosP!AF17)),IF(D_I="SI",DatosP!L17,DatosP!L17+DatosP!AF17)," - ")</f>
        <v xml:space="preserve"> - </v>
      </c>
      <c r="AB17" s="914" t="str">
        <f>IF(ISNUMBER(DatosP!R17),DatosP!R17," - ")</f>
        <v xml:space="preserve"> - </v>
      </c>
      <c r="AC17" s="907" t="str">
        <f>IF(ISNUMBER(DatosP!BV17),DatosP!BV17," - ")</f>
        <v xml:space="preserve"> - </v>
      </c>
      <c r="AD17" s="908" t="str">
        <f>IF(ISNUMBER(DatosP!CK17),DatosP!CK17," - ")</f>
        <v xml:space="preserve"> - </v>
      </c>
      <c r="AE17" s="915" t="str">
        <f>IF(ISNUMBER(DatosP!CL17),DatosP!CL17," - ")</f>
        <v xml:space="preserve"> - </v>
      </c>
      <c r="AF17" s="916" t="str">
        <f>IF(ISNUMBER(DatosP!CM17),DatosP!CM17," - ")</f>
        <v xml:space="preserve"> - </v>
      </c>
      <c r="AG17" s="915" t="str">
        <f>IF(ISNUMBER(DatosP!DV17),DatosP!DV17," - ")</f>
        <v xml:space="preserve"> - </v>
      </c>
      <c r="AH17" s="916"/>
      <c r="AI17" s="915"/>
      <c r="AJ17" s="916"/>
      <c r="AK17" s="908" t="str">
        <f>IF(ISNUMBER(DatosP!M17),DatosP!M17," - ")</f>
        <v xml:space="preserve"> - </v>
      </c>
      <c r="AL17" s="917" t="str">
        <f>IF(ISNUMBER(DatosP!N17),DatosP!N17," - ")</f>
        <v xml:space="preserve"> - </v>
      </c>
      <c r="AM17" s="917" t="str">
        <f>IF(ISNUMBER(DatosP!BW17),DatosP!BW17," - ")</f>
        <v xml:space="preserve"> - </v>
      </c>
      <c r="AN17" s="918" t="str">
        <f>IF(ISNUMBER(DatosP!BX17),DatosP!BX17," - ")</f>
        <v xml:space="preserve"> - </v>
      </c>
      <c r="AO17" s="919" t="str">
        <f>IF(ISNUMBER(IF(D_I="SI",DatosP!K17/DatosP!J17,(DatosP!K17+DatosP!AE17)/(DatosP!J17+DatosP!AD17))),IF(D_I="SI",DatosP!K17/DatosP!J17,(DatosP!K17+DatosP!AE17)/(DatosP!J17+DatosP!AD17))," - ")</f>
        <v xml:space="preserve"> - </v>
      </c>
      <c r="AP17" s="920" t="str">
        <f>IF(ISNUMBER(((IF(D_I="SI",DatosP!L17/DatosP!K17,(DatosP!L17+DatosP!AF17)/(DatosP!K17+DatosP!AE17)))*11)/factor_trimestre),((IF(D_I="SI",DatosP!L17/DatosP!K17,(DatosP!L17+DatosP!AF17)/(DatosP!K17+DatosP!AE17)))*11)/factor_trimestre," - ")</f>
        <v xml:space="preserve"> - </v>
      </c>
      <c r="AQ17" s="919" t="str">
        <f>IF(ISNUMBER(DatosP!M17/(IF(D_I="SI",DatosP!K17,DatosP!K17+DatosP!AE17))),DatosP!M17/(IF(D_I="SI",DatosP!K17,DatosP!K17+DatosP!AE17))," - ")</f>
        <v xml:space="preserve"> - </v>
      </c>
      <c r="AR17" s="921" t="str">
        <f>IF(ISNUMBER(DatosP!CI17/DatosP!CJ17),DatosP!CI17/DatosP!CJ17," - ")</f>
        <v xml:space="preserve"> - </v>
      </c>
      <c r="AS17" s="921" t="str">
        <f>IF(ISNUMBER((J17-Y17+K17)/(F17)),(J17-Y17+K17)/(F17)," - ")</f>
        <v xml:space="preserve"> - </v>
      </c>
      <c r="AT17" s="922" t="str">
        <f>IF(ISNUMBER((DatosP!P17-DatosP!Q17+P17)/(DatosP!R17-DatosP!P17+DatosP!Q17-P17)),(DatosP!P17-DatosP!Q17+P17)/(DatosP!R17-DatosP!P17+DatosP!Q17-P17)," - ")</f>
        <v xml:space="preserve"> - </v>
      </c>
      <c r="AU17" s="963" t="str">
        <f>IF(ISNUMBER(DatosP!CS17),DatosP!CS17," - ")</f>
        <v xml:space="preserve"> - </v>
      </c>
      <c r="AV17" s="963" t="str">
        <f>IF(ISNUMBER(DatosP!EI17),DatosP!EI17," - ")</f>
        <v xml:space="preserve"> - </v>
      </c>
      <c r="AW17" s="924" t="str">
        <f>IF(ISNUMBER(DatosP!CW17),DatosP!CW17," - ")</f>
        <v xml:space="preserve"> - </v>
      </c>
      <c r="AX17" s="924"/>
      <c r="AY17" s="924">
        <f>DatosP!CX17</f>
        <v>0</v>
      </c>
      <c r="AZ17" s="925">
        <f>DatosP!DU17</f>
        <v>0</v>
      </c>
      <c r="BT17" s="1382">
        <f>DatosP!ER17/factor_trimestre</f>
        <v>0</v>
      </c>
    </row>
    <row r="18" spans="1:72" s="859" customFormat="1" ht="15">
      <c r="A18" s="749">
        <f>DatosP!AO18</f>
        <v>0</v>
      </c>
      <c r="B18" s="750" t="s">
        <v>515</v>
      </c>
      <c r="C18" s="751" t="str">
        <f>DatosP!A18</f>
        <v>Jdos. Violencia contra la mujer</v>
      </c>
      <c r="D18" s="605"/>
      <c r="E18" s="924" t="str">
        <f>IF(ISNUMBER(DatosP!AQ18),DatosP!AQ18," - ")</f>
        <v xml:space="preserve"> - </v>
      </c>
      <c r="F18" s="908" t="str">
        <f>IF(ISNUMBER(AA18+Y18-I18-K18),AA18+Y18-I18-K18," - ")</f>
        <v xml:space="preserve"> - </v>
      </c>
      <c r="G18" s="909" t="str">
        <f>IF(ISNUMBER(IF(D_I="SI",DatosP!I18,DatosP!I18+DatosP!AC18)),IF(D_I="SI",DatosP!I18,DatosP!I18+DatosP!AC18)," - ")</f>
        <v xml:space="preserve"> - </v>
      </c>
      <c r="H18" s="910"/>
      <c r="I18" s="908" t="str">
        <f>IF(ISNUMBER(DatosP!DB18),DatosP!DB18," - ")</f>
        <v xml:space="preserve"> - </v>
      </c>
      <c r="J18" s="910" t="str">
        <f>IF(ISNUMBER(DatosP!DC18),DatosP!DC18," - ")</f>
        <v xml:space="preserve"> - </v>
      </c>
      <c r="K18" s="910">
        <f>IF(ISNUMBER(DatosP!DF18),DatosP!DF18,0)</f>
        <v>0</v>
      </c>
      <c r="L18" s="910">
        <f>IF(ISNUMBER(DatosP!DM18),DatosP!DM18,0)</f>
        <v>0</v>
      </c>
      <c r="M18" s="907" t="str">
        <f>IF(ISNUMBER(DatosP!EB18),DatosP!EB18," - ")</f>
        <v xml:space="preserve"> - </v>
      </c>
      <c r="N18" s="907" t="str">
        <f>IF(ISNUMBER(DatosP!EC18),DatosP!EC18," - ")</f>
        <v xml:space="preserve"> - </v>
      </c>
      <c r="O18" s="910">
        <f>IF(ISNUMBER(DatosP!P18),DatosP!P18,0)</f>
        <v>0</v>
      </c>
      <c r="P18" s="910" t="str">
        <f>IF(ISNUMBER(DatosP!DE18),DatosP!DE18," - ")</f>
        <v xml:space="preserve"> - </v>
      </c>
      <c r="Q18" s="1508" t="str">
        <f>IF(ISNUMBER(DatosP!EB18*factor_trimestre/DatosP!EE18),DatosP!EB18*factor_trimestre/DatosP!EE18," - ")</f>
        <v xml:space="preserve"> - </v>
      </c>
      <c r="R18" s="1508" t="str">
        <f>IF(ISNUMBER(DatosP!EC18*factor_trimestre/DatosP!EF18),DatosP!EC18*factor_trimestre/DatosP!EF18," - ")</f>
        <v xml:space="preserve"> - </v>
      </c>
      <c r="S18" s="910" t="str">
        <f>IF(ISNUMBER((DatosP!AS18+DatosP!AT18)/E18),(DatosP!AS18+DatosP!AT18)/E18," - ")</f>
        <v xml:space="preserve"> - </v>
      </c>
      <c r="T18" s="983" t="str">
        <f>IF(ISNUMBER(S18/(DatosP!BM18/factor_trimestre)),S18/(DatosP!BM18/factor_trimestre)," - ")</f>
        <v xml:space="preserve"> - </v>
      </c>
      <c r="U18" s="551" t="str">
        <f>IF(ISNUMBER(DatosP!EO18),DatosP!EO18," - ")</f>
        <v xml:space="preserve"> - </v>
      </c>
      <c r="V18" s="1356" t="e">
        <f>(U18/DatosP!ER18)*factor_trimestre</f>
        <v>#VALUE!</v>
      </c>
      <c r="W18" s="908">
        <f>IF(ISNUMBER(DatosP!BY18+DatosP!BZ18),DatosP!BY18+DatosP!BZ18," - ")</f>
        <v>0</v>
      </c>
      <c r="X18" s="983" t="str">
        <f>IF(ISNUMBER((W18*factor_trimestre)/DatosP!CN18),(W18*factor_trimestre)/DatosP!CN18,"-")</f>
        <v>-</v>
      </c>
      <c r="Y18" s="908" t="str">
        <f>IF(ISNUMBER(IF(D_I="SI",DatosP!K18,DatosP!K18+DatosP!AE18)),IF(D_I="SI",DatosP!K18,DatosP!K18+DatosP!AE18)," - ")</f>
        <v xml:space="preserve"> - </v>
      </c>
      <c r="Z18" s="910" t="str">
        <f>IF(ISNUMBER(DatosP!Q18),DatosP!Q18," - ")</f>
        <v xml:space="preserve"> - </v>
      </c>
      <c r="AA18" s="913" t="str">
        <f>IF(ISNUMBER(DatosP!L18),DatosP!L18,"-")</f>
        <v>-</v>
      </c>
      <c r="AB18" s="914" t="str">
        <f>IF(ISNUMBER(DatosP!R18),DatosP!R18," - ")</f>
        <v xml:space="preserve"> - </v>
      </c>
      <c r="AC18" s="907" t="str">
        <f>IF(ISNUMBER(DatosP!BV18),DatosP!BV18," - ")</f>
        <v xml:space="preserve"> - </v>
      </c>
      <c r="AD18" s="908" t="str">
        <f>IF(ISNUMBER(DatosP!CK18),DatosP!CK18," - ")</f>
        <v xml:space="preserve"> - </v>
      </c>
      <c r="AE18" s="915" t="str">
        <f>IF(ISNUMBER(DatosP!CL18),DatosP!CL18," - ")</f>
        <v xml:space="preserve"> - </v>
      </c>
      <c r="AF18" s="916" t="str">
        <f>IF(ISNUMBER(DatosP!CM18),DatosP!CM18," - ")</f>
        <v xml:space="preserve"> - </v>
      </c>
      <c r="AG18" s="915" t="str">
        <f>IF(ISNUMBER(DatosP!DV18),DatosP!DV18," - ")</f>
        <v xml:space="preserve"> - </v>
      </c>
      <c r="AH18" s="916"/>
      <c r="AI18" s="915"/>
      <c r="AJ18" s="916"/>
      <c r="AK18" s="908" t="str">
        <f>IF(ISNUMBER(DatosP!M18),DatosP!M18," - ")</f>
        <v xml:space="preserve"> - </v>
      </c>
      <c r="AL18" s="917" t="str">
        <f>IF(ISNUMBER(DatosP!N18),DatosP!N18," - ")</f>
        <v xml:space="preserve"> - </v>
      </c>
      <c r="AM18" s="917" t="str">
        <f>IF(ISNUMBER(DatosP!BW18),DatosP!BW18," - ")</f>
        <v xml:space="preserve"> - </v>
      </c>
      <c r="AN18" s="918" t="str">
        <f>IF(ISNUMBER(DatosP!BX18),DatosP!BX18," - ")</f>
        <v xml:space="preserve"> - </v>
      </c>
      <c r="AO18" s="919" t="str">
        <f>IF(ISNUMBER(IF(D_I="SI",DatosP!K18/DatosP!J18,(DatosP!K18+DatosP!AE18)/(DatosP!J18+DatosP!AD18))),IF(D_I="SI",DatosP!K18/DatosP!J18,(DatosP!K18+DatosP!AE18)/(DatosP!J18+DatosP!AD18))," - ")</f>
        <v xml:space="preserve"> - </v>
      </c>
      <c r="AP18" s="920" t="str">
        <f>IF(ISNUMBER(((IF(D_I="SI",DatosP!L18/DatosP!K18,(DatosP!L18+DatosP!AF18)/(DatosP!K18+DatosP!AE18)))*11)/factor_trimestre),((IF(D_I="SI",DatosP!L18/DatosP!K18,(DatosP!L18+DatosP!AF18)/(DatosP!K18+DatosP!AE18)))*11)/factor_trimestre," - ")</f>
        <v xml:space="preserve"> - </v>
      </c>
      <c r="AQ18" s="919" t="str">
        <f>IF(ISNUMBER(DatosP!M18/(IF(D_I="SI",DatosP!K18,DatosP!K18+DatosP!AE18))),DatosP!M18/(IF(D_I="SI",DatosP!K18,DatosP!K18+DatosP!AE18))," - ")</f>
        <v xml:space="preserve"> - </v>
      </c>
      <c r="AR18" s="921" t="str">
        <f>IF(ISNUMBER(DatosP!CI18/DatosP!CJ18),DatosP!CI18/DatosP!CJ18," - ")</f>
        <v xml:space="preserve"> - </v>
      </c>
      <c r="AS18" s="921" t="str">
        <f>IF(ISNUMBER((I18-Y18+K18)/(F18)),(I18-Y18+K18)/(F18)," - ")</f>
        <v xml:space="preserve"> - </v>
      </c>
      <c r="AT18" s="922" t="str">
        <f>IF(ISNUMBER((DatosP!P18-DatosP!Q18+P18)/(DatosP!R18-DatosP!P18+DatosP!Q18-P18)),(DatosP!P18-DatosP!Q18+P18)/(DatosP!R18-DatosP!P18+DatosP!Q18-P18)," - ")</f>
        <v xml:space="preserve"> - </v>
      </c>
      <c r="AU18" s="963" t="str">
        <f>IF(ISNUMBER(DatosP!CS18),DatosP!CS18," - ")</f>
        <v xml:space="preserve"> - </v>
      </c>
      <c r="AV18" s="963" t="str">
        <f>IF(ISNUMBER(DatosP!EI18),DatosP!EI18," - ")</f>
        <v xml:space="preserve"> - </v>
      </c>
      <c r="AW18" s="924" t="str">
        <f>IF(ISNUMBER(DatosP!CW18),DatosP!CW18," - ")</f>
        <v xml:space="preserve"> - </v>
      </c>
      <c r="AX18" s="924"/>
      <c r="AY18" s="924">
        <f>DatosP!CX18</f>
        <v>0</v>
      </c>
      <c r="AZ18" s="925">
        <f>DatosP!DU18</f>
        <v>0</v>
      </c>
      <c r="BT18" s="1382">
        <f>DatosP!ER18/factor_trimestre</f>
        <v>0</v>
      </c>
    </row>
    <row r="19" spans="1:72" s="859" customFormat="1" ht="15">
      <c r="A19" s="749">
        <f>DatosP!AO19</f>
        <v>0</v>
      </c>
      <c r="B19" s="750" t="s">
        <v>515</v>
      </c>
      <c r="C19" s="751" t="str">
        <f>DatosP!A19</f>
        <v xml:space="preserve">Jdos. de Menores                                </v>
      </c>
      <c r="D19" s="605"/>
      <c r="E19" s="924" t="str">
        <f>IF(ISNUMBER(DatosP!AQ19),DatosP!AQ19," - ")</f>
        <v xml:space="preserve"> - </v>
      </c>
      <c r="F19" s="908">
        <f>IF(ISNUMBER(DatosP!L19+DatosP!K19-DatosP!J19),DatosP!L19+DatosP!K19-DatosP!J19," - ")</f>
        <v>0</v>
      </c>
      <c r="G19" s="909" t="str">
        <f>IF(ISNUMBER(DatosP!I19),DatosP!I19," - ")</f>
        <v xml:space="preserve"> - </v>
      </c>
      <c r="H19" s="910"/>
      <c r="I19" s="908" t="str">
        <f>IF(ISNUMBER(DatosP!DB19),DatosP!DB19," - ")</f>
        <v xml:space="preserve"> - </v>
      </c>
      <c r="J19" s="910" t="str">
        <f>IF(ISNUMBER(DatosP!DC19),DatosP!DC19," - ")</f>
        <v xml:space="preserve"> - </v>
      </c>
      <c r="K19" s="910">
        <f>IF(ISNUMBER(DatosP!DF19),DatosP!DF19,0)</f>
        <v>0</v>
      </c>
      <c r="L19" s="910">
        <f>IF(ISNUMBER(DatosP!DM19),DatosP!DM19,0)</f>
        <v>0</v>
      </c>
      <c r="M19" s="907"/>
      <c r="N19" s="907"/>
      <c r="O19" s="910">
        <f>IF(ISNUMBER(DatosP!P19),DatosP!P19,0)</f>
        <v>0</v>
      </c>
      <c r="P19" s="910" t="str">
        <f>IF(ISNUMBER(DatosP!DE19),DatosP!DE19," - ")</f>
        <v xml:space="preserve"> - </v>
      </c>
      <c r="Q19" s="1508"/>
      <c r="R19" s="1508"/>
      <c r="S19" s="910">
        <f>IF(ISNUMBER(DatosP!AS19/1),DatosP!AS19/1," - ")</f>
        <v>0</v>
      </c>
      <c r="T19" s="983" t="str">
        <f>IF(ISNUMBER(S19/(DatosP!BM19/factor_trimestre)),S19/(DatosP!BM19/factor_trimestre)," - ")</f>
        <v xml:space="preserve"> - </v>
      </c>
      <c r="U19" s="551" t="str">
        <f>IF(ISNUMBER(DatosP!EO19),DatosP!EO19," - ")</f>
        <v xml:space="preserve"> - </v>
      </c>
      <c r="V19" s="1356" t="e">
        <f>(U19/DatosP!ER19)*factor_trimestre</f>
        <v>#VALUE!</v>
      </c>
      <c r="W19" s="908" t="str">
        <f>IF(ISNUMBER(DatosP!BY19),DatosP!BY19," - ")</f>
        <v xml:space="preserve"> - </v>
      </c>
      <c r="X19" s="983" t="str">
        <f>IF(ISNUMBER((W19*factor_trimestre)/DatosP!CN19),(W19*factor_trimestre)/DatosP!CN19,"-")</f>
        <v>-</v>
      </c>
      <c r="Y19" s="908" t="str">
        <f>IF(ISNUMBER(DatosP!K19),DatosP!K19," - ")</f>
        <v xml:space="preserve"> - </v>
      </c>
      <c r="Z19" s="910" t="str">
        <f>IF(ISNUMBER(DatosP!Q19),DatosP!Q19," - ")</f>
        <v xml:space="preserve"> - </v>
      </c>
      <c r="AA19" s="913" t="str">
        <f>IF(ISNUMBER(DatosP!L19),DatosP!L19,"-")</f>
        <v>-</v>
      </c>
      <c r="AB19" s="914" t="str">
        <f>IF(ISNUMBER(DatosP!R19),DatosP!R19," - ")</f>
        <v xml:space="preserve"> - </v>
      </c>
      <c r="AC19" s="907" t="str">
        <f>IF(ISNUMBER(DatosP!BV19),DatosP!BV19," - ")</f>
        <v xml:space="preserve"> - </v>
      </c>
      <c r="AD19" s="908" t="str">
        <f>IF(ISNUMBER(DatosP!CK19),DatosP!CK19," - ")</f>
        <v xml:space="preserve"> - </v>
      </c>
      <c r="AE19" s="915" t="str">
        <f>IF(ISNUMBER(DatosP!CL19),DatosP!CL19," - ")</f>
        <v xml:space="preserve"> - </v>
      </c>
      <c r="AF19" s="916" t="str">
        <f>IF(ISNUMBER(DatosP!CM19),DatosP!CM19," - ")</f>
        <v xml:space="preserve"> - </v>
      </c>
      <c r="AG19" s="915" t="str">
        <f>IF(ISNUMBER(DatosP!DV19),DatosP!DV19," - ")</f>
        <v xml:space="preserve"> - </v>
      </c>
      <c r="AH19" s="916" t="str">
        <f>IF(ISNUMBER(DatosP!CK19),DatosP!CK19," - ")</f>
        <v xml:space="preserve"> - </v>
      </c>
      <c r="AI19" s="915" t="str">
        <f>IF(ISNUMBER(DatosP!CL19),DatosP!CL19," - ")</f>
        <v xml:space="preserve"> - </v>
      </c>
      <c r="AJ19" s="916" t="str">
        <f>IF(ISNUMBER(DatosP!CM19),DatosP!CM19," - ")</f>
        <v xml:space="preserve"> - </v>
      </c>
      <c r="AK19" s="908" t="str">
        <f>IF(ISNUMBER(DatosP!M19),DatosP!M19," - ")</f>
        <v xml:space="preserve"> - </v>
      </c>
      <c r="AL19" s="917"/>
      <c r="AM19" s="917"/>
      <c r="AN19" s="918"/>
      <c r="AO19" s="919" t="str">
        <f>IF(ISNUMBER(DatosP!K19/DatosP!J19),DatosP!K19/DatosP!J19," - ")</f>
        <v xml:space="preserve"> - </v>
      </c>
      <c r="AP19" s="920" t="str">
        <f>IF(ISNUMBER(((DatosP!L19/DatosP!K19)*11)/factor_trimestre),((DatosP!L19/DatosP!K19)*11)/factor_trimestre," - ")</f>
        <v xml:space="preserve"> - </v>
      </c>
      <c r="AQ19" s="919"/>
      <c r="AR19" s="921" t="str">
        <f>IF(ISNUMBER(DatosP!CI19/DatosP!CJ19),DatosP!CI19/DatosP!CJ19," - ")</f>
        <v xml:space="preserve"> - </v>
      </c>
      <c r="AS19" s="921" t="str">
        <f>IF(ISNUMBER((I19-Y19+K19)/(F19)),(I19-Y19+K19)/(F19)," - ")</f>
        <v xml:space="preserve"> - </v>
      </c>
      <c r="AT19" s="922" t="str">
        <f>IF(ISNUMBER((DatosP!P19-DatosP!Q19+P19)/(DatosP!R19-DatosP!P19+DatosP!Q19-P19)),(DatosP!P19-DatosP!Q19+P19)/(DatosP!R19-DatosP!P19+DatosP!Q19-P19)," - ")</f>
        <v xml:space="preserve"> - </v>
      </c>
      <c r="AU19" s="923"/>
      <c r="AV19" s="963" t="str">
        <f>IF(ISNUMBER(DatosP!EI19),DatosP!EI19," - ")</f>
        <v xml:space="preserve"> - </v>
      </c>
      <c r="AW19" s="924" t="str">
        <f>IF(ISNUMBER(DatosP!CW19),DatosP!CW19," - ")</f>
        <v xml:space="preserve"> - </v>
      </c>
      <c r="AX19" s="924"/>
      <c r="AY19" s="924">
        <f>DatosP!CX19</f>
        <v>0</v>
      </c>
      <c r="AZ19" s="925">
        <f>DatosP!DU19</f>
        <v>0</v>
      </c>
      <c r="BT19" s="1382">
        <f>DatosP!ER19/factor_trimestre</f>
        <v>0</v>
      </c>
    </row>
    <row r="20" spans="1:72" s="960" customFormat="1" ht="15">
      <c r="A20" s="740">
        <f>DatosP!AO20</f>
        <v>0</v>
      </c>
      <c r="B20" s="741" t="s">
        <v>515</v>
      </c>
      <c r="C20" s="742" t="str">
        <f>DatosP!A20</f>
        <v xml:space="preserve">Jdos. Vigilancia Penitenciaria                  </v>
      </c>
      <c r="D20" s="743"/>
      <c r="E20" s="952" t="str">
        <f>IF(ISNUMBER(DatosP!AQ20),DatosP!AQ20," - ")</f>
        <v xml:space="preserve"> - </v>
      </c>
      <c r="F20" s="908">
        <f>IF(ISNUMBER(DatosP!L20+DatosP!K20-DatosP!J20-K20),DatosP!L20+DatosP!K20-DatosP!J20-K20," - ")</f>
        <v>0</v>
      </c>
      <c r="G20" s="954" t="str">
        <f>IF(ISNUMBER(DatosP!I20),DatosP!I20," - ")</f>
        <v xml:space="preserve"> - </v>
      </c>
      <c r="H20" s="955"/>
      <c r="I20" s="953" t="str">
        <f>IF(ISNUMBER(DatosP!DB20),DatosP!DB20," - ")</f>
        <v xml:space="preserve"> - </v>
      </c>
      <c r="J20" s="910" t="str">
        <f>IF(ISNUMBER(DatosP!DC20),DatosP!DC20," - ")</f>
        <v xml:space="preserve"> - </v>
      </c>
      <c r="K20" s="955">
        <f>IF(ISNUMBER(DatosP!DF20),DatosP!DF20,0)</f>
        <v>0</v>
      </c>
      <c r="L20" s="927">
        <f>IF(ISNUMBER(DatosP!DM20),DatosP!DM20,0)</f>
        <v>0</v>
      </c>
      <c r="M20" s="956"/>
      <c r="O20" s="927">
        <f>IF(ISNUMBER(DatosP!P20),DatosP!P20,0)</f>
        <v>0</v>
      </c>
      <c r="P20" s="927" t="str">
        <f>IF(ISNUMBER(DatosP!DE20),DatosP!DE20," - ")</f>
        <v xml:space="preserve"> - </v>
      </c>
      <c r="Q20" s="1511"/>
      <c r="R20" s="1511"/>
      <c r="S20" s="927">
        <f>IF(ISNUMBER(DatosP!AS20/(TrimFin-TrimIni+1)),(DatosP!AS20/(TrimFin-TrimIni+1))," - ")</f>
        <v>0</v>
      </c>
      <c r="T20" s="947" t="str">
        <f>IF(ISNUMBER((S20/E20)/DatosP!BM20),(S20/E20)/DatosP!BM20," - ")</f>
        <v xml:space="preserve"> - </v>
      </c>
      <c r="U20" s="551" t="str">
        <f>IF(ISNUMBER(DatosP!EO20),DatosP!EO20," - ")</f>
        <v xml:space="preserve"> - </v>
      </c>
      <c r="V20" s="1356" t="e">
        <f>(U20/DatosP!ER20)*factor_trimestre</f>
        <v>#VALUE!</v>
      </c>
      <c r="W20" s="929">
        <f>IF(ISNUMBER(DatosP!BY20+DatosP!BZ20),DatosP!BY20+DatosP!BZ20," - ")</f>
        <v>0</v>
      </c>
      <c r="X20" s="947">
        <f>IF(ISNUMBER((W20*factor_trimestre)/DatosB!CN20),(W20*factor_trimestre)/DatosB!CN20,"-")</f>
        <v>0</v>
      </c>
      <c r="Y20" s="929" t="str">
        <f>IF(ISNUMBER(DatosP!K20),DatosP!K20," - ")</f>
        <v xml:space="preserve"> - </v>
      </c>
      <c r="Z20" s="910" t="str">
        <f>IF(ISNUMBER(DatosP!Q20),DatosP!Q20," - ")</f>
        <v xml:space="preserve"> - </v>
      </c>
      <c r="AA20" s="958" t="str">
        <f>IF(ISNUMBER(DatosP!L20),DatosP!L20,"-")</f>
        <v>-</v>
      </c>
      <c r="AB20" s="914" t="str">
        <f>IF(ISNUMBER(DatosP!R20),DatosP!R20," - ")</f>
        <v xml:space="preserve"> - </v>
      </c>
      <c r="AC20" s="930"/>
      <c r="AD20" s="929"/>
      <c r="AE20" s="897"/>
      <c r="AF20" s="898"/>
      <c r="AG20" s="897"/>
      <c r="AH20" s="898"/>
      <c r="AI20" s="897"/>
      <c r="AJ20" s="898"/>
      <c r="AK20" s="929"/>
      <c r="AL20" s="932" t="str">
        <f>IF(ISNUMBER(DatosP!N20),DatosP!N20," - ")</f>
        <v xml:space="preserve"> - </v>
      </c>
      <c r="AM20" s="932"/>
      <c r="AN20" s="933" t="str">
        <f>IF(ISNUMBER(DatosP!BX20),DatosP!BX20," - ")</f>
        <v xml:space="preserve"> - </v>
      </c>
      <c r="AO20" s="919" t="str">
        <f>IF(ISNUMBER(DatosP!K20/DatosP!J20),DatosP!K20/DatosP!J20," - ")</f>
        <v xml:space="preserve"> - </v>
      </c>
      <c r="AP20" s="920" t="str">
        <f>IF(ISNUMBER(((DatosP!L20/DatosP!K20)*11)/factor_trimestre),((DatosP!L20/DatosP!K20)*11)/factor_trimestre," - ")</f>
        <v xml:space="preserve"> - </v>
      </c>
      <c r="AQ20" s="934"/>
      <c r="AR20" s="935"/>
      <c r="AS20" s="921" t="str">
        <f>IF(ISNUMBER((I20-Y20+K20)/(F20)),(I20-Y20+K20)/(F20)," - ")</f>
        <v xml:space="preserve"> - </v>
      </c>
      <c r="AT20" s="948" t="str">
        <f>IF(ISNUMBER((DatosP!P20-DatosP!Q20+P20)/(DatosP!R20-DatosP!P20+DatosP!Q20-P20)),(DatosP!P20-DatosP!Q20+P20)/(DatosP!R20-DatosP!P20+DatosP!Q20-P20)," - ")</f>
        <v xml:space="preserve"> - </v>
      </c>
      <c r="AU20" s="962"/>
      <c r="AV20" s="959" t="str">
        <f>IF(ISNUMBER(DatosP!EI20),DatosP!EI20," - ")</f>
        <v xml:space="preserve"> - </v>
      </c>
      <c r="AW20" s="936" t="str">
        <f>IF(ISNUMBER(DatosP!CW20),DatosP!CW20," - ")</f>
        <v xml:space="preserve"> - </v>
      </c>
      <c r="AX20" s="952"/>
      <c r="AY20" s="936"/>
      <c r="AZ20" s="937"/>
      <c r="BT20" s="1382">
        <f>DatosP!ER20/factor_trimestre</f>
        <v>0</v>
      </c>
    </row>
    <row r="21" spans="1:72" s="859" customFormat="1" ht="15">
      <c r="A21" s="749">
        <f>DatosP!AO21</f>
        <v>0</v>
      </c>
      <c r="B21" s="750" t="s">
        <v>515</v>
      </c>
      <c r="C21" s="751" t="str">
        <f>DatosP!A21</f>
        <v xml:space="preserve">Jdos. de lo Penal                               </v>
      </c>
      <c r="D21" s="605"/>
      <c r="E21" s="924" t="str">
        <f>IF(ISNUMBER(DatosP!AQ21),DatosP!AQ21," - ")</f>
        <v xml:space="preserve"> - </v>
      </c>
      <c r="F21" s="908">
        <f>IF(ISNUMBER(DatosP!L21+DatosP!K21-DatosP!J21),DatosP!L21+DatosP!K21-DatosP!J21," - ")</f>
        <v>0</v>
      </c>
      <c r="G21" s="909" t="str">
        <f>IF(ISNUMBER(DatosP!I21),DatosP!I21," - ")</f>
        <v xml:space="preserve"> - </v>
      </c>
      <c r="H21" s="910" t="str">
        <f>IF(ISNUMBER(DatosP!ED21),DatosP!ED21," - ")</f>
        <v xml:space="preserve"> - </v>
      </c>
      <c r="I21" s="929" t="str">
        <f>IF(ISNUMBER(DatosP!DB21),DatosP!DB21," - ")</f>
        <v xml:space="preserve"> - </v>
      </c>
      <c r="J21" s="927">
        <f>IF(ISNUMBER(DatosP!DC21),DatosP!DC21,0)</f>
        <v>0</v>
      </c>
      <c r="K21" s="910">
        <f>IF(ISNUMBER(DatosP!DF21),DatosP!DF21,0)</f>
        <v>0</v>
      </c>
      <c r="L21" s="910">
        <f>IF(ISNUMBER(DatosP!DM21),DatosP!DM21,0)</f>
        <v>0</v>
      </c>
      <c r="M21" s="907"/>
      <c r="N21" s="907"/>
      <c r="O21" s="910">
        <f>IF(ISNUMBER(DatosP!P21),DatosP!P21,0)</f>
        <v>0</v>
      </c>
      <c r="P21" s="927" t="str">
        <f>IF(ISNUMBER(DatosP!DE21),DatosP!DE21," - ")</f>
        <v xml:space="preserve"> - </v>
      </c>
      <c r="Q21" s="1508"/>
      <c r="R21" s="1508"/>
      <c r="S21" s="927" t="str">
        <f>IF(ISNUMBER(DatosP!AS21),DatosP!AS21," - ")</f>
        <v xml:space="preserve"> - </v>
      </c>
      <c r="T21" s="983" t="str">
        <f>IF(ISNUMBER((S21/E21)/(DatosP!BM21/factor_trimestre)),(S21/E21)/(DatosP!BM21/factor_trimestre)," - ")</f>
        <v xml:space="preserve"> - </v>
      </c>
      <c r="U21" s="551" t="str">
        <f>IF(ISNUMBER(DatosP!EO21),DatosP!EO21," - ")</f>
        <v xml:space="preserve"> - </v>
      </c>
      <c r="V21" s="1356" t="e">
        <f>((U21/E21)/DatosP!ER21)*factor_trimestre</f>
        <v>#VALUE!</v>
      </c>
      <c r="W21" s="908">
        <f>IF(ISNUMBER(DatosP!BY21+DatosP!BZ21),DatosP!BY21+DatosP!BZ21," - ")</f>
        <v>0</v>
      </c>
      <c r="X21" s="947" t="str">
        <f>IF(ISNUMBER((W21*factor_trimestre)/DatosB!CN21),(W21*factor_trimestre)/DatosB!CN21,"-")</f>
        <v>-</v>
      </c>
      <c r="Y21" s="908" t="str">
        <f>IF(ISNUMBER(DatosP!K21),DatosP!K21," - ")</f>
        <v xml:space="preserve"> - </v>
      </c>
      <c r="Z21" s="910" t="str">
        <f>IF(ISNUMBER(DatosP!Q21),DatosP!Q21," - ")</f>
        <v xml:space="preserve"> - </v>
      </c>
      <c r="AA21" s="913" t="str">
        <f>IF(ISNUMBER(DatosP!L21),DatosP!L21,"-")</f>
        <v>-</v>
      </c>
      <c r="AB21" s="914" t="str">
        <f>IF(ISNUMBER(DatosP!R21),DatosP!R21," - ")</f>
        <v xml:space="preserve"> - </v>
      </c>
      <c r="AC21" s="907" t="str">
        <f>IF(ISNUMBER(DatosP!BV21),DatosP!BV21," - ")</f>
        <v xml:space="preserve"> - </v>
      </c>
      <c r="AD21" s="908" t="str">
        <f>IF(ISNUMBER(DatosP!CK21),DatosP!CK21," - ")</f>
        <v xml:space="preserve"> - </v>
      </c>
      <c r="AE21" s="915" t="str">
        <f>IF(ISNUMBER(DatosP!CL21),DatosP!CL21," - ")</f>
        <v xml:space="preserve"> - </v>
      </c>
      <c r="AF21" s="916" t="str">
        <f>IF(ISNUMBER(DatosP!CM21),DatosP!CM21," - ")</f>
        <v xml:space="preserve"> - </v>
      </c>
      <c r="AG21" s="915"/>
      <c r="AH21" s="916"/>
      <c r="AI21" s="915"/>
      <c r="AJ21" s="916"/>
      <c r="AK21" s="908" t="str">
        <f>IF(ISNUMBER(DatosP!M21),DatosP!M21," - ")</f>
        <v xml:space="preserve"> - </v>
      </c>
      <c r="AL21" s="917"/>
      <c r="AM21" s="917" t="str">
        <f>IF(ISNUMBER(DatosP!BW21),DatosP!BW21," - ")</f>
        <v xml:space="preserve"> - </v>
      </c>
      <c r="AN21" s="918" t="str">
        <f>IF(ISNUMBER(DatosP!BX21),DatosP!BX21," - ")</f>
        <v xml:space="preserve"> - </v>
      </c>
      <c r="AO21" s="919" t="str">
        <f>IF(ISNUMBER(DatosP!K21/DatosP!J21),DatosP!K21/DatosP!J21," - ")</f>
        <v xml:space="preserve"> - </v>
      </c>
      <c r="AP21" s="920" t="str">
        <f>IF(ISNUMBER(((DatosP!L21/DatosP!K21)*11)/factor_trimestre),((DatosP!L21/DatosP!K21)*11)/factor_trimestre," - ")</f>
        <v xml:space="preserve"> - </v>
      </c>
      <c r="AQ21" s="919"/>
      <c r="AR21" s="921" t="str">
        <f>IF(ISNUMBER(DatosP!CI21/DatosP!CJ21),DatosP!CI21/DatosP!CJ21," - ")</f>
        <v xml:space="preserve"> - </v>
      </c>
      <c r="AS21" s="921" t="str">
        <f>IF(ISNUMBER((I21-Y21+K21)/(F21)),(I21-Y21+K21)/(F21)," - ")</f>
        <v xml:space="preserve"> - </v>
      </c>
      <c r="AT21" s="922" t="str">
        <f>IF(ISNUMBER((DatosP!P21-DatosP!Q21+P21)/(DatosP!R21-DatosP!P21+DatosP!Q21-P21)),(DatosP!P21-DatosP!Q21+P21)/(DatosP!R21-DatosP!P21+DatosP!Q21-P21)," - ")</f>
        <v xml:space="preserve"> - </v>
      </c>
      <c r="AU21" s="923"/>
      <c r="AV21" s="959" t="str">
        <f>IF(ISNUMBER(DatosP!EI21),DatosP!EI21," - ")</f>
        <v xml:space="preserve"> - </v>
      </c>
      <c r="AW21" s="924" t="str">
        <f>IF(ISNUMBER(DatosP!CW21),DatosP!CW21," - ")</f>
        <v xml:space="preserve"> - </v>
      </c>
      <c r="AX21" s="924" t="str">
        <f>IF(ISNUMBER(DatosP!EJ21),DatosP!EJ21," - ")</f>
        <v xml:space="preserve"> - </v>
      </c>
      <c r="AY21" s="924">
        <f>DatosP!CX21</f>
        <v>0</v>
      </c>
      <c r="AZ21" s="925">
        <f>DatosP!DU21</f>
        <v>0</v>
      </c>
      <c r="BT21" s="1382">
        <f>DatosP!ER21/factor_trimestre</f>
        <v>0</v>
      </c>
    </row>
    <row r="22" spans="1:72" s="859" customFormat="1" ht="15.75" thickBot="1">
      <c r="A22" s="749">
        <f>DatosP!AO22</f>
        <v>0</v>
      </c>
      <c r="B22" s="750" t="s">
        <v>515</v>
      </c>
      <c r="C22" s="751" t="str">
        <f>DatosP!A22</f>
        <v xml:space="preserve">Jdos. de lo Penal de Ejecutorias                </v>
      </c>
      <c r="D22" s="605"/>
      <c r="E22" s="924" t="str">
        <f>IF(ISNUMBER(DatosP!AQ22),DatosP!AQ22," - ")</f>
        <v xml:space="preserve"> - </v>
      </c>
      <c r="F22" s="908">
        <f>IF(ISNUMBER(DatosP!L22+DatosP!K22-DatosP!J22),DatosP!L22+DatosP!K22-DatosP!J22," - ")</f>
        <v>0</v>
      </c>
      <c r="G22" s="909" t="str">
        <f>IF(ISNUMBER(DatosP!I22),DatosP!I22," - ")</f>
        <v xml:space="preserve"> - </v>
      </c>
      <c r="H22" s="910"/>
      <c r="I22" s="908" t="str">
        <f>IF(ISNUMBER(DatosP!DB22),DatosP!DB22," - ")</f>
        <v xml:space="preserve"> - </v>
      </c>
      <c r="J22" s="910" t="str">
        <f>IF(ISNUMBER(DatosP!DC22),DatosP!DC22," - ")</f>
        <v xml:space="preserve"> - </v>
      </c>
      <c r="K22" s="910">
        <f>IF(ISNUMBER(DatosP!DF22),DatosP!DF22,0)</f>
        <v>0</v>
      </c>
      <c r="L22" s="910">
        <f>IF(ISNUMBER(DatosP!DM22),DatosP!DM22,0)</f>
        <v>0</v>
      </c>
      <c r="M22" s="907"/>
      <c r="N22" s="907"/>
      <c r="O22" s="910">
        <f>IF(ISNUMBER(DatosP!P22),DatosP!P22,0)</f>
        <v>0</v>
      </c>
      <c r="P22" s="910" t="str">
        <f>IF(ISNUMBER(DatosP!DE22),DatosP!DE22," - ")</f>
        <v xml:space="preserve"> - </v>
      </c>
      <c r="Q22" s="1508"/>
      <c r="R22" s="1508"/>
      <c r="S22" s="927" t="str">
        <f>IF(ISNUMBER(DatosP!AS22),DatosP!AS22," - ")</f>
        <v xml:space="preserve"> - </v>
      </c>
      <c r="T22" s="983" t="str">
        <f>IF(ISNUMBER((S22/E22)/(DatosP!BM22/factor_trimestre)),(S22/E22)/(DatosP!BM22/factor_trimestre)," - ")</f>
        <v xml:space="preserve"> - </v>
      </c>
      <c r="U22" s="551" t="str">
        <f>IF(ISNUMBER(DatosP!EO22),DatosP!EO22," - ")</f>
        <v xml:space="preserve"> - </v>
      </c>
      <c r="V22" s="1356" t="e">
        <f>((U22/E22)/DatosP!ER22)*factor_trimestre</f>
        <v>#VALUE!</v>
      </c>
      <c r="W22" s="908" t="str">
        <f>IF(ISNUMBER(DatosP!BY22),DatosP!BY22," - ")</f>
        <v xml:space="preserve"> - </v>
      </c>
      <c r="X22" s="947" t="str">
        <f>IF(ISNUMBER((W22*factor_trimestre)/DatosB!CN22),(W22*factor_trimestre)/DatosB!CN22,"-")</f>
        <v>-</v>
      </c>
      <c r="Y22" s="908" t="str">
        <f>IF(ISNUMBER(DatosP!K22),DatosP!K22," - ")</f>
        <v xml:space="preserve"> - </v>
      </c>
      <c r="Z22" s="910" t="str">
        <f>IF(ISNUMBER(DatosP!Q22),DatosP!Q22," - ")</f>
        <v xml:space="preserve"> - </v>
      </c>
      <c r="AA22" s="913"/>
      <c r="AB22" s="914" t="str">
        <f>IF(ISNUMBER(DatosP!R22),DatosP!R22," - ")</f>
        <v xml:space="preserve"> - </v>
      </c>
      <c r="AC22" s="907"/>
      <c r="AD22" s="908"/>
      <c r="AE22" s="915"/>
      <c r="AF22" s="916"/>
      <c r="AG22" s="915"/>
      <c r="AH22" s="916"/>
      <c r="AI22" s="915"/>
      <c r="AJ22" s="916"/>
      <c r="AK22" s="908"/>
      <c r="AL22" s="917" t="str">
        <f>IF(ISNUMBER(DatosP!N22),DatosP!N22," - ")</f>
        <v xml:space="preserve"> - </v>
      </c>
      <c r="AM22" s="917"/>
      <c r="AN22" s="918"/>
      <c r="AO22" s="919" t="str">
        <f>IF(ISNUMBER(DatosP!Q22/DatosP!P22),DatosP!Q22/DatosP!P22," - ")</f>
        <v xml:space="preserve"> - </v>
      </c>
      <c r="AP22" s="920" t="str">
        <f>IF(ISNUMBER(((DatosP!R22/DatosP!Q22)*11)/factor_trimestre),((DatosP!R22/DatosP!Q22)*11)/factor_trimestre," - ")</f>
        <v xml:space="preserve"> - </v>
      </c>
      <c r="AQ22" s="919"/>
      <c r="AR22" s="921"/>
      <c r="AS22" s="921"/>
      <c r="AT22" s="922" t="str">
        <f>IF(ISNUMBER((DatosP!P22-DatosP!Q22+P22)/(DatosP!R22-DatosP!P22+DatosP!Q22-P22)),(DatosP!P22-DatosP!Q22+P22)/(DatosP!R22-DatosP!P22+DatosP!Q22-P22)," - ")</f>
        <v xml:space="preserve"> - </v>
      </c>
      <c r="AU22" s="923"/>
      <c r="AV22" s="963" t="str">
        <f>IF(ISNUMBER(DatosP!EI22),DatosP!EI22," - ")</f>
        <v xml:space="preserve"> - </v>
      </c>
      <c r="AW22" s="924" t="str">
        <f>IF(ISNUMBER(DatosP!CW22),DatosP!CW22," - ")</f>
        <v xml:space="preserve"> - </v>
      </c>
      <c r="AX22" s="924" t="str">
        <f>IF(ISNUMBER(DatosP!EJ22),DatosP!EJ22," - ")</f>
        <v xml:space="preserve"> - </v>
      </c>
      <c r="AY22" s="924">
        <f>DatosP!CX22</f>
        <v>0</v>
      </c>
      <c r="AZ22" s="925">
        <f>DatosP!DU22</f>
        <v>0</v>
      </c>
      <c r="BT22" s="1382">
        <f>DatosP!ER22/factor_trimestre</f>
        <v>0</v>
      </c>
    </row>
    <row r="23" spans="1:72" ht="15.75" thickTop="1" thickBot="1">
      <c r="A23" s="938"/>
      <c r="B23" s="938"/>
      <c r="C23" s="1259" t="str">
        <f>DatosP!A23</f>
        <v>TOTAL</v>
      </c>
      <c r="D23" s="1260"/>
      <c r="E23" s="1260">
        <f>SUBTOTAL(9,E16:E22)</f>
        <v>0</v>
      </c>
      <c r="F23" s="1261">
        <f>SUBTOTAL(9,F16:F22)</f>
        <v>0</v>
      </c>
      <c r="G23" s="1261">
        <f>SUBTOTAL(9,G16:G22)</f>
        <v>0</v>
      </c>
      <c r="H23" s="1262">
        <f>SUBTOTAL(9,H16:H22)</f>
        <v>0</v>
      </c>
      <c r="I23" s="1261">
        <f>SUBTOTAL(9,I16:I22)</f>
        <v>0</v>
      </c>
      <c r="J23" s="1263">
        <f>SUBTOTAL(9,J15:J22)</f>
        <v>0</v>
      </c>
      <c r="K23" s="1262">
        <f t="shared" ref="K23:T23" si="2">SUBTOTAL(9,K16:K22)</f>
        <v>0</v>
      </c>
      <c r="L23" s="1262">
        <f t="shared" si="2"/>
        <v>0</v>
      </c>
      <c r="M23" s="1264">
        <f t="shared" si="2"/>
        <v>0</v>
      </c>
      <c r="N23" s="1264">
        <f t="shared" si="2"/>
        <v>0</v>
      </c>
      <c r="O23" s="1262">
        <f t="shared" si="2"/>
        <v>0</v>
      </c>
      <c r="P23" s="1262">
        <f t="shared" si="2"/>
        <v>0</v>
      </c>
      <c r="Q23" s="1509">
        <f t="shared" si="2"/>
        <v>0</v>
      </c>
      <c r="R23" s="1509">
        <f t="shared" si="2"/>
        <v>0</v>
      </c>
      <c r="S23" s="1262">
        <f t="shared" si="2"/>
        <v>0</v>
      </c>
      <c r="T23" s="1509">
        <f t="shared" si="2"/>
        <v>0</v>
      </c>
      <c r="U23" s="1164">
        <f>SUBTOTAL(9,U15:U22)</f>
        <v>0</v>
      </c>
      <c r="V23" s="1359" t="e">
        <f>SUBTOTAL(9,V15:V22)</f>
        <v>#VALUE!</v>
      </c>
      <c r="W23" s="1262">
        <f>SUBTOTAL(9,W16:W22)</f>
        <v>0</v>
      </c>
      <c r="X23" s="1266" t="str">
        <f>IF(ISNUMBER((W23*factor_trimestre)/DatosP!CN23),(W23*factor_trimestre)/DatosP!CN23,"-")</f>
        <v>-</v>
      </c>
      <c r="Y23" s="1262">
        <f t="shared" ref="Y23:AN23" si="3">SUBTOTAL(9,Y16:Y22)</f>
        <v>0</v>
      </c>
      <c r="Z23" s="1262">
        <f t="shared" si="3"/>
        <v>0</v>
      </c>
      <c r="AA23" s="1262">
        <f t="shared" si="3"/>
        <v>0</v>
      </c>
      <c r="AB23" s="1262">
        <f t="shared" si="3"/>
        <v>0</v>
      </c>
      <c r="AC23" s="1262">
        <f t="shared" si="3"/>
        <v>0</v>
      </c>
      <c r="AD23" s="1262">
        <f t="shared" si="3"/>
        <v>0</v>
      </c>
      <c r="AE23" s="1262">
        <f t="shared" si="3"/>
        <v>0</v>
      </c>
      <c r="AF23" s="1262">
        <f t="shared" si="3"/>
        <v>0</v>
      </c>
      <c r="AG23" s="1262">
        <f t="shared" si="3"/>
        <v>0</v>
      </c>
      <c r="AH23" s="1262">
        <f t="shared" si="3"/>
        <v>0</v>
      </c>
      <c r="AI23" s="1262">
        <f t="shared" si="3"/>
        <v>0</v>
      </c>
      <c r="AJ23" s="1262">
        <f t="shared" si="3"/>
        <v>0</v>
      </c>
      <c r="AK23" s="1262">
        <f t="shared" si="3"/>
        <v>0</v>
      </c>
      <c r="AL23" s="1262">
        <f t="shared" si="3"/>
        <v>0</v>
      </c>
      <c r="AM23" s="1262">
        <f t="shared" si="3"/>
        <v>0</v>
      </c>
      <c r="AN23" s="1262">
        <f t="shared" si="3"/>
        <v>0</v>
      </c>
      <c r="AO23" s="1262" t="str">
        <f>IF(ISNUMBER(DatosP!K23/DatosP!J23),DatosP!K23/DatosP!J23," - ")</f>
        <v xml:space="preserve"> - </v>
      </c>
      <c r="AP23" s="1267" t="str">
        <f>IF(ISNUMBER(((DatosP!L23/DatosP!K23)*11)/factor_trimestre),((DatosP!L23/DatosP!K23)*11)/factor_trimestre," - ")</f>
        <v xml:space="preserve"> - </v>
      </c>
      <c r="AQ23" s="1262">
        <f>SUBTOTAL(9,AQ16:AQ22)</f>
        <v>0</v>
      </c>
      <c r="AR23" s="1262">
        <f>SUBTOTAL(9,AR16:AR22)</f>
        <v>0</v>
      </c>
      <c r="AS23" s="1268" t="str">
        <f>IF(ISNUMBER((I23-Y23+K23)/(F23)),(I23-Y23+K23)/(F23)," - ")</f>
        <v xml:space="preserve"> - </v>
      </c>
      <c r="AT23" s="1270" t="str">
        <f>IF(ISNUMBER((DatosP!P23-DatosP!Q23)/(DatosP!R23-DatosP!P23+DatosP!Q23)),(DatosP!P23-DatosP!Q23)/(DatosP!R23-DatosP!P23+DatosP!Q23)," - ")</f>
        <v xml:space="preserve"> - </v>
      </c>
      <c r="AU23" s="1262">
        <f>SUBTOTAL(9,AU16:AU22)</f>
        <v>0</v>
      </c>
      <c r="AV23" s="1262">
        <f>SUBTOTAL(9,AV16:AV22)</f>
        <v>0</v>
      </c>
      <c r="AW23" s="1262">
        <f>SUBTOTAL(9,AW16:AW22)</f>
        <v>0</v>
      </c>
      <c r="AX23" s="1262">
        <f>SUBTOTAL(9,AX16:AX22)</f>
        <v>0</v>
      </c>
      <c r="AY23" s="1262"/>
      <c r="AZ23" s="1271"/>
      <c r="BT23" s="1209"/>
    </row>
    <row r="24" spans="1:72" ht="15.75" thickTop="1">
      <c r="A24" s="608"/>
      <c r="B24" s="608"/>
      <c r="C24" s="73" t="str">
        <f>DatosP!A24</f>
        <v xml:space="preserve">Jurisdicción Cont.-Admva.:                      </v>
      </c>
      <c r="D24" s="620"/>
      <c r="E24" s="964"/>
      <c r="F24" s="942"/>
      <c r="G24" s="965"/>
      <c r="H24" s="944"/>
      <c r="I24" s="945"/>
      <c r="J24" s="890"/>
      <c r="K24" s="944"/>
      <c r="L24" s="944"/>
      <c r="M24" s="944"/>
      <c r="N24" s="944"/>
      <c r="O24" s="944"/>
      <c r="P24" s="944"/>
      <c r="Q24" s="1510"/>
      <c r="R24" s="1510"/>
      <c r="S24" s="927"/>
      <c r="T24" s="1510"/>
      <c r="U24" s="327"/>
      <c r="V24" s="1360"/>
      <c r="W24" s="966"/>
      <c r="X24" s="967"/>
      <c r="Y24" s="945"/>
      <c r="Z24" s="944"/>
      <c r="AA24" s="945"/>
      <c r="AB24" s="944"/>
      <c r="AC24" s="968"/>
      <c r="AD24" s="942"/>
      <c r="AE24" s="969"/>
      <c r="AF24" s="970"/>
      <c r="AG24" s="971"/>
      <c r="AH24" s="972"/>
      <c r="AI24" s="973"/>
      <c r="AJ24" s="971"/>
      <c r="AK24" s="942"/>
      <c r="AL24" s="974"/>
      <c r="AM24" s="974"/>
      <c r="AN24" s="975"/>
      <c r="AO24" s="1064"/>
      <c r="AP24" s="1065"/>
      <c r="AQ24" s="976"/>
      <c r="AR24" s="977"/>
      <c r="AS24" s="977"/>
      <c r="AT24" s="978"/>
      <c r="AU24" s="979"/>
      <c r="AV24" s="979"/>
      <c r="AW24" s="977"/>
      <c r="AX24" s="977"/>
      <c r="AY24" s="980"/>
      <c r="AZ24" s="981"/>
      <c r="BT24" s="630"/>
    </row>
    <row r="25" spans="1:72" ht="15" thickBot="1">
      <c r="A25" s="596">
        <f>DatosP!AO24</f>
        <v>0</v>
      </c>
      <c r="B25" s="604" t="s">
        <v>516</v>
      </c>
      <c r="C25" s="7" t="str">
        <f>DatosP!A25</f>
        <v xml:space="preserve">Jdos Cont.-Admvo.                               </v>
      </c>
      <c r="D25" s="907"/>
      <c r="E25" s="924"/>
      <c r="F25" s="929"/>
      <c r="G25" s="909"/>
      <c r="H25" s="927"/>
      <c r="I25" s="929"/>
      <c r="J25" s="927"/>
      <c r="K25" s="927"/>
      <c r="L25" s="910"/>
      <c r="M25" s="907"/>
      <c r="N25" s="907"/>
      <c r="O25" s="927"/>
      <c r="P25" s="927"/>
      <c r="Q25" s="1512"/>
      <c r="R25" s="1512"/>
      <c r="S25" s="927"/>
      <c r="T25" s="947"/>
      <c r="U25" s="551"/>
      <c r="V25" s="1356"/>
      <c r="W25" s="929"/>
      <c r="X25" s="947"/>
      <c r="Y25" s="929"/>
      <c r="Z25" s="927"/>
      <c r="AA25" s="984"/>
      <c r="AB25" s="931"/>
      <c r="AC25" s="932"/>
      <c r="AD25" s="929"/>
      <c r="AE25" s="897"/>
      <c r="AF25" s="898"/>
      <c r="AG25" s="908"/>
      <c r="AH25" s="915"/>
      <c r="AI25" s="916"/>
      <c r="AJ25" s="908"/>
      <c r="AK25" s="929"/>
      <c r="AL25" s="929"/>
      <c r="AM25" s="985"/>
      <c r="AN25" s="986"/>
      <c r="AO25" s="919"/>
      <c r="AP25" s="920"/>
      <c r="AQ25" s="934"/>
      <c r="AR25" s="935"/>
      <c r="AS25" s="921"/>
      <c r="AT25" s="948"/>
      <c r="AU25" s="987"/>
      <c r="AV25" s="987"/>
      <c r="AW25" s="936"/>
      <c r="AX25" s="936"/>
      <c r="AY25" s="988"/>
      <c r="AZ25" s="925"/>
      <c r="BT25" s="1382">
        <f>DatosP!ER25/factor_trimestre</f>
        <v>0</v>
      </c>
    </row>
    <row r="26" spans="1:72" ht="15.75" thickTop="1" thickBot="1">
      <c r="A26" s="938"/>
      <c r="B26" s="938"/>
      <c r="C26" s="1259" t="str">
        <f>DatosP!A26</f>
        <v>TOTAL</v>
      </c>
      <c r="D26" s="1260"/>
      <c r="E26" s="1260">
        <f>SUBTOTAL(9,E23:E25)</f>
        <v>0</v>
      </c>
      <c r="F26" s="1261">
        <f>SUBTOTAL(9,F25:F25)</f>
        <v>0</v>
      </c>
      <c r="G26" s="1261">
        <f>SUBTOTAL(9,G25:G25)</f>
        <v>0</v>
      </c>
      <c r="H26" s="1272">
        <f>SUBTOTAL(9,H25:H25)</f>
        <v>0</v>
      </c>
      <c r="I26" s="1261">
        <f>SUBTOTAL(9,I25:I25)</f>
        <v>0</v>
      </c>
      <c r="J26" s="1273">
        <f>SUBTOTAL(9,J25:J25)</f>
        <v>0</v>
      </c>
      <c r="K26" s="1272">
        <f>SUBTOTAL(9,K22:K25)</f>
        <v>0</v>
      </c>
      <c r="L26" s="1272">
        <f>SUBTOTAL(9,L22:L25)</f>
        <v>0</v>
      </c>
      <c r="M26" s="1272">
        <f>SUBTOTAL(9,M22:M25)</f>
        <v>0</v>
      </c>
      <c r="N26" s="1274">
        <f>SUBTOTAL(9,N22:N25)</f>
        <v>0</v>
      </c>
      <c r="O26" s="1272">
        <f t="shared" ref="O26:T26" si="4">SUBTOTAL(9,O25:O25)</f>
        <v>0</v>
      </c>
      <c r="P26" s="1272">
        <f t="shared" si="4"/>
        <v>0</v>
      </c>
      <c r="Q26" s="1513">
        <f t="shared" si="4"/>
        <v>0</v>
      </c>
      <c r="R26" s="1513">
        <f t="shared" si="4"/>
        <v>0</v>
      </c>
      <c r="S26" s="1272">
        <f t="shared" si="4"/>
        <v>0</v>
      </c>
      <c r="T26" s="1513">
        <f t="shared" si="4"/>
        <v>0</v>
      </c>
      <c r="U26" s="1164">
        <f>SUBTOTAL(9,U23:U25)</f>
        <v>0</v>
      </c>
      <c r="V26" s="1359">
        <f>SUBTOTAL(9,V23:V25)</f>
        <v>0</v>
      </c>
      <c r="W26" s="1261">
        <f>SUBTOTAL(9,W23:W25)</f>
        <v>0</v>
      </c>
      <c r="X26" s="1266" t="str">
        <f>IF(ISNUMBER((W26*factor_trimestre)/DatosP!BM26),(W26*factor_trimestre)/DatosP!BM26,"-")</f>
        <v>-</v>
      </c>
      <c r="Y26" s="1262">
        <f t="shared" ref="Y26:AK26" si="5">SUBTOTAL(9,Y25:Y25)</f>
        <v>0</v>
      </c>
      <c r="Z26" s="1262">
        <f t="shared" si="5"/>
        <v>0</v>
      </c>
      <c r="AA26" s="1264">
        <f t="shared" si="5"/>
        <v>0</v>
      </c>
      <c r="AB26" s="1264">
        <f t="shared" si="5"/>
        <v>0</v>
      </c>
      <c r="AC26" s="1275">
        <f t="shared" si="5"/>
        <v>0</v>
      </c>
      <c r="AD26" s="1261">
        <f t="shared" si="5"/>
        <v>0</v>
      </c>
      <c r="AE26" s="1276">
        <f t="shared" si="5"/>
        <v>0</v>
      </c>
      <c r="AF26" s="1272">
        <f t="shared" si="5"/>
        <v>0</v>
      </c>
      <c r="AG26" s="1261">
        <f t="shared" si="5"/>
        <v>0</v>
      </c>
      <c r="AH26" s="1261">
        <f t="shared" si="5"/>
        <v>0</v>
      </c>
      <c r="AI26" s="1261">
        <f t="shared" si="5"/>
        <v>0</v>
      </c>
      <c r="AJ26" s="1261">
        <f t="shared" si="5"/>
        <v>0</v>
      </c>
      <c r="AK26" s="1261">
        <f t="shared" si="5"/>
        <v>0</v>
      </c>
      <c r="AL26" s="1275"/>
      <c r="AM26" s="1262">
        <f>SUBTOTAL(9,AM25:AM25)</f>
        <v>0</v>
      </c>
      <c r="AN26" s="1272">
        <f>SUBTOTAL(9,AN25:AN25)</f>
        <v>0</v>
      </c>
      <c r="AO26" s="1272" t="str">
        <f>IF(ISNUMBER(DatosP!K26/DatosP!J26),DatosP!K26/DatosP!J26," - ")</f>
        <v xml:space="preserve"> - </v>
      </c>
      <c r="AP26" s="1267" t="str">
        <f>IF(ISNUMBER(((DatosP!L26/DatosP!K26)*11)/factor_trimestre),((DatosP!L26/DatosP!K26)*11)/factor_trimestre," - ")</f>
        <v xml:space="preserve"> - </v>
      </c>
      <c r="AQ26" s="1268"/>
      <c r="AR26" s="1268" t="str">
        <f>IF(ISNUMBER(DatosP!CI26/DatosP!CJ26),DatosP!CI26/DatosP!CJ26," - ")</f>
        <v xml:space="preserve"> - </v>
      </c>
      <c r="AS26" s="1268" t="str">
        <f>IF(ISNUMBER((I26-Y26+K26)/(F26)),(I26-Y26+K26)/(F26)," - ")</f>
        <v xml:space="preserve"> - </v>
      </c>
      <c r="AT26" s="1270" t="str">
        <f>IF(ISNUMBER((DatosP!P26-DatosP!Q26)/(DatosP!R26-DatosP!P26+DatosP!Q26)),(DatosP!P26-DatosP!Q26)/(DatosP!R26-DatosP!P26+DatosP!Q26)," - ")</f>
        <v xml:space="preserve"> - </v>
      </c>
      <c r="AU26" s="1277"/>
      <c r="AV26" s="1277"/>
      <c r="AW26" s="1260">
        <f>SUBTOTAL(9,AW23:AW25)</f>
        <v>0</v>
      </c>
      <c r="AX26" s="1260"/>
      <c r="AY26" s="1278"/>
      <c r="AZ26" s="1271"/>
      <c r="BT26" s="1209"/>
    </row>
    <row r="27" spans="1:72" ht="15" thickTop="1">
      <c r="A27" s="608"/>
      <c r="B27" s="608"/>
      <c r="C27" s="73" t="str">
        <f>DatosP!A27</f>
        <v xml:space="preserve">Jurisdicción Social:                            </v>
      </c>
      <c r="D27" s="620"/>
      <c r="E27" s="990"/>
      <c r="F27" s="942"/>
      <c r="G27" s="965"/>
      <c r="H27" s="944"/>
      <c r="I27" s="945"/>
      <c r="J27" s="890"/>
      <c r="K27" s="944"/>
      <c r="L27" s="944"/>
      <c r="M27" s="944"/>
      <c r="N27" s="944"/>
      <c r="O27" s="944"/>
      <c r="P27" s="944"/>
      <c r="Q27" s="1510"/>
      <c r="R27" s="1510"/>
      <c r="S27" s="927"/>
      <c r="T27" s="991"/>
      <c r="U27" s="328"/>
      <c r="V27" s="1361"/>
      <c r="W27" s="992"/>
      <c r="X27" s="946"/>
      <c r="Y27" s="945"/>
      <c r="Z27" s="944"/>
      <c r="AA27" s="945"/>
      <c r="AB27" s="944"/>
      <c r="AC27" s="968"/>
      <c r="AD27" s="942"/>
      <c r="AE27" s="969"/>
      <c r="AF27" s="970"/>
      <c r="AG27" s="972"/>
      <c r="AH27" s="972"/>
      <c r="AI27" s="972"/>
      <c r="AJ27" s="972"/>
      <c r="AK27" s="942"/>
      <c r="AL27" s="974"/>
      <c r="AM27" s="974"/>
      <c r="AN27" s="975"/>
      <c r="AO27" s="919"/>
      <c r="AP27" s="920"/>
      <c r="AQ27" s="934"/>
      <c r="AR27" s="993"/>
      <c r="AS27" s="994"/>
      <c r="AT27" s="995"/>
      <c r="AU27" s="996"/>
      <c r="AV27" s="996"/>
      <c r="AW27" s="994"/>
      <c r="AX27" s="994"/>
      <c r="AY27" s="997"/>
      <c r="AZ27" s="998"/>
      <c r="BT27" s="636"/>
    </row>
    <row r="28" spans="1:72" ht="14.25">
      <c r="A28" s="596">
        <f>DatosP!AO28</f>
        <v>0</v>
      </c>
      <c r="B28" s="604" t="s">
        <v>517</v>
      </c>
      <c r="C28" s="7" t="str">
        <f>DatosP!A28</f>
        <v xml:space="preserve">Jdos. de lo Social                              </v>
      </c>
      <c r="D28" s="907"/>
      <c r="E28" s="924"/>
      <c r="F28" s="929"/>
      <c r="G28" s="909"/>
      <c r="H28" s="927"/>
      <c r="I28" s="929"/>
      <c r="J28" s="927"/>
      <c r="K28" s="927"/>
      <c r="L28" s="910"/>
      <c r="M28" s="907"/>
      <c r="N28" s="907"/>
      <c r="O28" s="927"/>
      <c r="P28" s="927"/>
      <c r="Q28" s="1512"/>
      <c r="R28" s="1512"/>
      <c r="S28" s="927"/>
      <c r="T28" s="947"/>
      <c r="U28" s="551"/>
      <c r="V28" s="1356"/>
      <c r="W28" s="929"/>
      <c r="X28" s="947"/>
      <c r="Y28" s="929"/>
      <c r="Z28" s="927"/>
      <c r="AA28" s="984"/>
      <c r="AB28" s="931"/>
      <c r="AC28" s="932"/>
      <c r="AD28" s="929"/>
      <c r="AE28" s="897"/>
      <c r="AF28" s="898"/>
      <c r="AG28" s="908"/>
      <c r="AH28" s="915"/>
      <c r="AI28" s="916"/>
      <c r="AJ28" s="908"/>
      <c r="AK28" s="929"/>
      <c r="AL28" s="929"/>
      <c r="AM28" s="985"/>
      <c r="AN28" s="986"/>
      <c r="AO28" s="919"/>
      <c r="AP28" s="1066"/>
      <c r="AQ28" s="934"/>
      <c r="AR28" s="935"/>
      <c r="AS28" s="921"/>
      <c r="AT28" s="948"/>
      <c r="AU28" s="987"/>
      <c r="AV28" s="987"/>
      <c r="AW28" s="936"/>
      <c r="AX28" s="936"/>
      <c r="AY28" s="988"/>
      <c r="AZ28" s="925"/>
      <c r="BT28" s="1382">
        <f>DatosP!ER28/factor_trimestre</f>
        <v>0</v>
      </c>
    </row>
    <row r="29" spans="1:72" ht="15" thickBot="1">
      <c r="A29" s="596">
        <f>DatosP!AO29</f>
        <v>0</v>
      </c>
      <c r="B29" s="604" t="s">
        <v>517</v>
      </c>
      <c r="C29" s="7" t="str">
        <f>DatosP!A29</f>
        <v>Jdos. De lo Social de Ejecuciones</v>
      </c>
      <c r="D29" s="907"/>
      <c r="E29" s="924"/>
      <c r="F29" s="929"/>
      <c r="G29" s="909"/>
      <c r="H29" s="927"/>
      <c r="I29" s="929"/>
      <c r="J29" s="927"/>
      <c r="K29" s="927"/>
      <c r="L29" s="910"/>
      <c r="M29" s="907"/>
      <c r="N29" s="907"/>
      <c r="O29" s="927"/>
      <c r="P29" s="927"/>
      <c r="Q29" s="1512"/>
      <c r="R29" s="1512"/>
      <c r="S29" s="927"/>
      <c r="T29" s="947"/>
      <c r="U29" s="551"/>
      <c r="V29" s="1356"/>
      <c r="W29" s="929"/>
      <c r="X29" s="947"/>
      <c r="Y29" s="929"/>
      <c r="Z29" s="927"/>
      <c r="AA29" s="984"/>
      <c r="AB29" s="931"/>
      <c r="AC29" s="932"/>
      <c r="AD29" s="929"/>
      <c r="AE29" s="897"/>
      <c r="AF29" s="898"/>
      <c r="AG29" s="908"/>
      <c r="AH29" s="915"/>
      <c r="AI29" s="916"/>
      <c r="AJ29" s="908"/>
      <c r="AK29" s="929"/>
      <c r="AL29" s="929"/>
      <c r="AM29" s="985"/>
      <c r="AN29" s="986"/>
      <c r="AO29" s="919"/>
      <c r="AP29" s="1066"/>
      <c r="AQ29" s="934"/>
      <c r="AR29" s="935"/>
      <c r="AS29" s="935"/>
      <c r="AT29" s="948"/>
      <c r="AU29" s="987"/>
      <c r="AV29" s="987"/>
      <c r="AW29" s="936"/>
      <c r="AX29" s="936"/>
      <c r="AY29" s="988"/>
      <c r="AZ29" s="925"/>
      <c r="BT29" s="1382">
        <f>DatosP!ER29/factor_trimestre</f>
        <v>0</v>
      </c>
    </row>
    <row r="30" spans="1:72" ht="15.75" thickTop="1" thickBot="1">
      <c r="A30" s="938"/>
      <c r="B30" s="938"/>
      <c r="C30" s="1259" t="str">
        <f>DatosP!A30</f>
        <v>TOTAL</v>
      </c>
      <c r="D30" s="1260"/>
      <c r="E30" s="1260">
        <f>SUBTOTAL(9,E25:E29)</f>
        <v>0</v>
      </c>
      <c r="F30" s="1261">
        <f>SUBTOTAL(9,F28:F29)</f>
        <v>0</v>
      </c>
      <c r="G30" s="1261">
        <f>SUBTOTAL(9,G28:G29)</f>
        <v>0</v>
      </c>
      <c r="H30" s="1272">
        <f>SUBTOTAL(9,H28:H29)</f>
        <v>0</v>
      </c>
      <c r="I30" s="1261">
        <f>SUBTOTAL(9,I28:I29)</f>
        <v>0</v>
      </c>
      <c r="J30" s="1273">
        <f>SUBTOTAL(9,J28:J29)</f>
        <v>0</v>
      </c>
      <c r="K30" s="1272">
        <f>SUBTOTAL(9,K23:K29)</f>
        <v>0</v>
      </c>
      <c r="L30" s="1272">
        <f>SUBTOTAL(9,L23:L29)</f>
        <v>0</v>
      </c>
      <c r="M30" s="1274"/>
      <c r="N30" s="1274"/>
      <c r="O30" s="1272">
        <f t="shared" ref="O30:T30" si="6">SUBTOTAL(9,O28:O29)</f>
        <v>0</v>
      </c>
      <c r="P30" s="1272">
        <f t="shared" si="6"/>
        <v>0</v>
      </c>
      <c r="Q30" s="1513">
        <f t="shared" si="6"/>
        <v>0</v>
      </c>
      <c r="R30" s="1513">
        <f t="shared" si="6"/>
        <v>0</v>
      </c>
      <c r="S30" s="1272">
        <f t="shared" si="6"/>
        <v>0</v>
      </c>
      <c r="T30" s="1513">
        <f t="shared" si="6"/>
        <v>0</v>
      </c>
      <c r="U30" s="1164">
        <f>SUBTOTAL(9,U25:U29)</f>
        <v>0</v>
      </c>
      <c r="V30" s="1359">
        <f>SUBTOTAL(9,V25:V29)</f>
        <v>0</v>
      </c>
      <c r="W30" s="1261">
        <f>SUBTOTAL(9,W25:W29)</f>
        <v>0</v>
      </c>
      <c r="X30" s="1266" t="str">
        <f>IF(ISNUMBER((W30*factor_trimestre)/DatosP!BM30),(W30*factor_trimestre)/DatosP!BM30,"-")</f>
        <v>-</v>
      </c>
      <c r="Y30" s="1262">
        <f t="shared" ref="Y30:AF30" si="7">SUBTOTAL(9,Y28:Y29)</f>
        <v>0</v>
      </c>
      <c r="Z30" s="1262">
        <f t="shared" si="7"/>
        <v>0</v>
      </c>
      <c r="AA30" s="1264">
        <f t="shared" si="7"/>
        <v>0</v>
      </c>
      <c r="AB30" s="1264">
        <f t="shared" si="7"/>
        <v>0</v>
      </c>
      <c r="AC30" s="1275">
        <f t="shared" si="7"/>
        <v>0</v>
      </c>
      <c r="AD30" s="1261">
        <f t="shared" si="7"/>
        <v>0</v>
      </c>
      <c r="AE30" s="1276">
        <f t="shared" si="7"/>
        <v>0</v>
      </c>
      <c r="AF30" s="1272">
        <f t="shared" si="7"/>
        <v>0</v>
      </c>
      <c r="AG30" s="1279"/>
      <c r="AH30" s="1279"/>
      <c r="AI30" s="1279"/>
      <c r="AJ30" s="1279"/>
      <c r="AK30" s="1261">
        <f>SUBTOTAL(9,AK28:AK29)</f>
        <v>0</v>
      </c>
      <c r="AL30" s="1275"/>
      <c r="AM30" s="1262">
        <f>SUBTOTAL(9,AM28:AM29)</f>
        <v>0</v>
      </c>
      <c r="AN30" s="1272">
        <f>SUBTOTAL(9,AN28:AN29)</f>
        <v>0</v>
      </c>
      <c r="AO30" s="1262" t="str">
        <f>IF(ISNUMBER(DatosP!K30/DatosP!J30),DatosP!K30/DatosP!J30," - ")</f>
        <v xml:space="preserve"> - </v>
      </c>
      <c r="AP30" s="1267" t="str">
        <f>IF(ISNUMBER(((DatosP!L30/DatosP!K30)*11)/factor_trimestre),((DatosP!L30/DatosP!K30)*11)/factor_trimestre," - ")</f>
        <v xml:space="preserve"> - </v>
      </c>
      <c r="AQ30" s="1268"/>
      <c r="AR30" s="1268" t="str">
        <f>IF(ISNUMBER(AS30/AT30),AS30/AT30," - ")</f>
        <v xml:space="preserve"> - </v>
      </c>
      <c r="AS30" s="1268" t="str">
        <f>IF(ISNUMBER((I30-Y30+K30)/(F30)),(I30-Y30+K30)/(F30)," - ")</f>
        <v xml:space="preserve"> - </v>
      </c>
      <c r="AT30" s="1270" t="str">
        <f>IF(ISNUMBER((DatosP!P30-DatosP!Q30)/(DatosP!R30-DatosP!P30+DatosP!Q30)),(DatosP!P30-DatosP!Q30)/(DatosP!R30-DatosP!P30+DatosP!Q30)," - ")</f>
        <v xml:space="preserve"> - </v>
      </c>
      <c r="AU30" s="1277"/>
      <c r="AV30" s="1277"/>
      <c r="AW30" s="1260">
        <f>SUBTOTAL(9,AW25:AW29)</f>
        <v>0</v>
      </c>
      <c r="AX30" s="1260"/>
      <c r="AY30" s="1280"/>
      <c r="AZ30" s="1271"/>
      <c r="BT30" s="1209"/>
    </row>
    <row r="31" spans="1:72" ht="18.75" customHeight="1" thickTop="1" thickBot="1">
      <c r="A31" s="1001"/>
      <c r="B31" s="1001"/>
      <c r="C31" s="1281" t="str">
        <f>DatosP!A31</f>
        <v>TOTAL JURISDICCIONES</v>
      </c>
      <c r="D31" s="1281"/>
      <c r="E31" s="1282">
        <f t="shared" ref="E31:P31" si="8">SUBTOTAL(9,E9:E30)</f>
        <v>0</v>
      </c>
      <c r="F31" s="1283">
        <f t="shared" si="8"/>
        <v>0</v>
      </c>
      <c r="G31" s="1283">
        <f t="shared" si="8"/>
        <v>0</v>
      </c>
      <c r="H31" s="1284">
        <f t="shared" si="8"/>
        <v>0</v>
      </c>
      <c r="I31" s="1283">
        <f t="shared" si="8"/>
        <v>0</v>
      </c>
      <c r="J31" s="1284">
        <f t="shared" si="8"/>
        <v>0</v>
      </c>
      <c r="K31" s="1285">
        <f t="shared" si="8"/>
        <v>0</v>
      </c>
      <c r="L31" s="1285">
        <f t="shared" si="8"/>
        <v>0</v>
      </c>
      <c r="M31" s="1285">
        <f t="shared" si="8"/>
        <v>0</v>
      </c>
      <c r="N31" s="1285">
        <f t="shared" si="8"/>
        <v>0</v>
      </c>
      <c r="O31" s="1284">
        <f t="shared" si="8"/>
        <v>0</v>
      </c>
      <c r="P31" s="1284">
        <f t="shared" si="8"/>
        <v>0</v>
      </c>
      <c r="Q31" s="1514">
        <f>IF(ISNUMBER(AVERAGE(Q8:Q30)),AVERAGE(Q8:Q30),"-")</f>
        <v>0</v>
      </c>
      <c r="R31" s="1514">
        <f>IF(ISNUMBER(AVERAGE(R8:R30)),AVERAGE(R8:R30),"-")</f>
        <v>0</v>
      </c>
      <c r="S31" s="1284">
        <f>SUBTOTAL(9,S9:S30)</f>
        <v>0</v>
      </c>
      <c r="T31" s="1514">
        <f>IF(ISNUMBER(AVERAGE(T8:T30)),AVERAGE(T8:T30),"-")</f>
        <v>0</v>
      </c>
      <c r="U31" s="1182">
        <f>SUBTOTAL(9,U9:U30)</f>
        <v>0</v>
      </c>
      <c r="V31" s="1362" t="e">
        <f>SUBTOTAL(9,V9:V30)</f>
        <v>#VALUE!</v>
      </c>
      <c r="W31" s="1287">
        <f>SUBTOTAL(9,W9:W30)</f>
        <v>0</v>
      </c>
      <c r="X31" s="1288">
        <f>IF(ISNUMBER(AVERAGE(X8:X30)),AVERAGE(X8:X30),"-")</f>
        <v>0</v>
      </c>
      <c r="Y31" s="1289">
        <f t="shared" ref="Y31:AN31" si="9">SUBTOTAL(9,Y9:Y30)</f>
        <v>0</v>
      </c>
      <c r="Z31" s="1289">
        <f t="shared" si="9"/>
        <v>0</v>
      </c>
      <c r="AA31" s="1290">
        <f t="shared" si="9"/>
        <v>0</v>
      </c>
      <c r="AB31" s="1290">
        <f t="shared" si="9"/>
        <v>0</v>
      </c>
      <c r="AC31" s="1291">
        <f t="shared" si="9"/>
        <v>0</v>
      </c>
      <c r="AD31" s="1287">
        <f t="shared" si="9"/>
        <v>0</v>
      </c>
      <c r="AE31" s="1292">
        <f t="shared" si="9"/>
        <v>0</v>
      </c>
      <c r="AF31" s="1291">
        <f t="shared" si="9"/>
        <v>0</v>
      </c>
      <c r="AG31" s="1291">
        <f t="shared" si="9"/>
        <v>0</v>
      </c>
      <c r="AH31" s="1291">
        <f t="shared" si="9"/>
        <v>0</v>
      </c>
      <c r="AI31" s="1291">
        <f t="shared" si="9"/>
        <v>0</v>
      </c>
      <c r="AJ31" s="1291">
        <f t="shared" si="9"/>
        <v>0</v>
      </c>
      <c r="AK31" s="1283">
        <f t="shared" si="9"/>
        <v>0</v>
      </c>
      <c r="AL31" s="1283">
        <f t="shared" si="9"/>
        <v>0</v>
      </c>
      <c r="AM31" s="1283">
        <f t="shared" si="9"/>
        <v>0</v>
      </c>
      <c r="AN31" s="1291">
        <f t="shared" si="9"/>
        <v>0</v>
      </c>
      <c r="AO31" s="1291" t="str">
        <f>IF(ISNUMBER(DatosP!K31/DatosP!J31),DatosP!K31/DatosP!J31," - ")</f>
        <v xml:space="preserve"> - </v>
      </c>
      <c r="AP31" s="1291" t="str">
        <f>IF(ISNUMBER(((DatosP!L31/DatosP!K31)*11)/factor_trimestre),((DatosP!L31/DatosP!K31)*11)/factor_trimestre," - ")</f>
        <v xml:space="preserve"> - </v>
      </c>
      <c r="AQ31" s="1293" t="str">
        <f>IF(ISNUMBER(DatosP!M31/(IF(D_I="SI",DatosP!K31,DatosP!K31+DatosP!AE31))),DatosP!M31/(IF(D_I="SI",DatosP!K31,DatosP!K31+DatosP!AE31))," - ")</f>
        <v xml:space="preserve"> - </v>
      </c>
      <c r="AR31" s="1294" t="str">
        <f>IF(ISNUMBER(DatosP!CI31/DatosP!CJ31),DatosP!CI31/DatosP!CJ31," - ")</f>
        <v xml:space="preserve"> - </v>
      </c>
      <c r="AS31" s="1295" t="e">
        <f>IF(OR(ISNUMBER(FIND("01",Criterios!A8,1)),ISNUMBER(FIND("02",Criterios!A8,1)),ISNUMBER(FIND("03",Criterios!A8,1)),ISNUMBER(FIND("04",Criterios!A8,1))),(J31-Y31+K31)/(F31-K31),(I31-Y31+K31)/(F31-K31))</f>
        <v>#DIV/0!</v>
      </c>
      <c r="AT31" s="1296" t="str">
        <f>IF(ISNUMBER((DatosP!P31-DatosP!Q31+P31)/(DatosP!R31-DatosP!P31+DatosP!Q31-P31)),(DatosP!P31-DatosP!Q31+P31)/(DatosP!R31-DatosP!P31+DatosP!Q31-P31)," - ")</f>
        <v xml:space="preserve"> - </v>
      </c>
      <c r="AU31" s="1297">
        <f>SUBTOTAL(9,AU9:AU30)</f>
        <v>0</v>
      </c>
      <c r="AV31" s="1297">
        <f>SUBTOTAL(9,AV9:AV30)</f>
        <v>0</v>
      </c>
      <c r="AW31" s="1298">
        <f>SUBTOTAL(9,AW9:AW30)</f>
        <v>0</v>
      </c>
      <c r="AX31" s="1298">
        <f>SUBTOTAL(9,AX9:AX30)</f>
        <v>0</v>
      </c>
      <c r="AY31" s="1299"/>
      <c r="AZ31" s="1300"/>
      <c r="BT31" s="1231"/>
    </row>
    <row r="32" spans="1:72" ht="18.75" customHeight="1" thickTop="1" thickBot="1">
      <c r="A32" s="1005"/>
      <c r="B32" s="1005"/>
      <c r="C32" s="1301" t="s">
        <v>344</v>
      </c>
      <c r="D32" s="1302"/>
      <c r="E32" s="1302" t="str">
        <f ca="1">IF(ISNUMBER(SUMIF($B8:$B30,$B32,E8:E30)/INDIRECT("DatosP!AP"&amp;ROW()-1)),SUMIF($B8:$B30,$B32,E8:E30)/INDIRECT("DatosP!AP"&amp;ROW()-1),"-")</f>
        <v>-</v>
      </c>
      <c r="F32" s="1293" t="str">
        <f ca="1">IF(ISNUMBER(SUMIF($B8:$B30,$B32,F8:F30)/INDIRECT("DatosP!AP"&amp;ROW()-1)),SUMIF($B8:$B30,$B32,F8:F30)/INDIRECT("DatosP!AP"&amp;ROW()-1),"-")</f>
        <v>-</v>
      </c>
      <c r="G32" s="1303">
        <f>IF(ISNUMBER(AVERAGE(G8:G30)),AVERAGE(G8:G30),"-")</f>
        <v>0</v>
      </c>
      <c r="H32" s="1304" t="str">
        <f t="shared" ref="H32:T32" ca="1" si="10">IF(ISNUMBER(SUMIF($B8:$B30,$B32,H8:H30)/INDIRECT("DatosP!AP"&amp;ROW()-1)),SUMIF($B8:$B30,$B32,H8:H30)/INDIRECT("DatosP!AP"&amp;ROW()-1),"-")</f>
        <v>-</v>
      </c>
      <c r="I32" s="1293" t="str">
        <f t="shared" ca="1" si="10"/>
        <v>-</v>
      </c>
      <c r="J32" s="1304" t="str">
        <f t="shared" ca="1" si="10"/>
        <v>-</v>
      </c>
      <c r="K32" s="1304" t="str">
        <f t="shared" ca="1" si="10"/>
        <v>-</v>
      </c>
      <c r="L32" s="1304" t="str">
        <f t="shared" ca="1" si="10"/>
        <v>-</v>
      </c>
      <c r="M32" s="1304" t="str">
        <f t="shared" ca="1" si="10"/>
        <v>-</v>
      </c>
      <c r="N32" s="1304" t="str">
        <f t="shared" ca="1" si="10"/>
        <v>-</v>
      </c>
      <c r="O32" s="1304" t="str">
        <f t="shared" ca="1" si="10"/>
        <v>-</v>
      </c>
      <c r="P32" s="1304" t="str">
        <f t="shared" ca="1" si="10"/>
        <v>-</v>
      </c>
      <c r="Q32" s="1515" t="str">
        <f t="shared" ca="1" si="10"/>
        <v>-</v>
      </c>
      <c r="R32" s="1515" t="str">
        <f t="shared" ca="1" si="10"/>
        <v>-</v>
      </c>
      <c r="S32" s="1304" t="str">
        <f t="shared" ca="1" si="10"/>
        <v>-</v>
      </c>
      <c r="T32" s="1518" t="str">
        <f t="shared" ca="1" si="10"/>
        <v>-</v>
      </c>
      <c r="U32" s="1108">
        <f ca="1">IF(ISNUMBER(SUMIF($B8:$B30,$B32,U8:U30)/INDIRECT("Datos!AP"&amp;ROW()-1)),SUMIF($B8:$B30,$B32,U8:U30)/INDIRECT("Datos!AP"&amp;ROW()-1),"-")</f>
        <v>0</v>
      </c>
      <c r="V32" s="1363">
        <f ca="1">IF(ISNUMBER(SUMIF($B8:$B30,$B32,V8:V30)/INDIRECT("Datos!AP"&amp;ROW()-1)),SUMIF($B8:$B30,$B32,V8:V30)/INDIRECT("Datos!AP"&amp;ROW()-1),"-")</f>
        <v>0</v>
      </c>
      <c r="W32" s="1307" t="str">
        <f t="shared" ref="W32:AQ32" ca="1" si="11">IF(ISNUMBER(SUMIF($B8:$B30,$B32,W8:W30)/INDIRECT("DatosP!AP"&amp;ROW()-1)),SUMIF($B8:$B30,$B32,W8:W30)/INDIRECT("DatosP!AP"&amp;ROW()-1),"-")</f>
        <v>-</v>
      </c>
      <c r="X32" s="1308" t="str">
        <f t="shared" ca="1" si="11"/>
        <v>-</v>
      </c>
      <c r="Y32" s="1309" t="str">
        <f t="shared" ca="1" si="11"/>
        <v>-</v>
      </c>
      <c r="Z32" s="1309" t="str">
        <f t="shared" ca="1" si="11"/>
        <v>-</v>
      </c>
      <c r="AA32" s="1309" t="str">
        <f t="shared" ca="1" si="11"/>
        <v>-</v>
      </c>
      <c r="AB32" s="1309" t="str">
        <f t="shared" ca="1" si="11"/>
        <v>-</v>
      </c>
      <c r="AC32" s="1304" t="str">
        <f t="shared" ca="1" si="11"/>
        <v>-</v>
      </c>
      <c r="AD32" s="1307" t="str">
        <f t="shared" ca="1" si="11"/>
        <v>-</v>
      </c>
      <c r="AE32" s="1310" t="str">
        <f t="shared" ca="1" si="11"/>
        <v>-</v>
      </c>
      <c r="AF32" s="1304" t="str">
        <f t="shared" ca="1" si="11"/>
        <v>-</v>
      </c>
      <c r="AG32" s="1311" t="str">
        <f t="shared" ca="1" si="11"/>
        <v>-</v>
      </c>
      <c r="AH32" s="1311" t="str">
        <f t="shared" ca="1" si="11"/>
        <v>-</v>
      </c>
      <c r="AI32" s="1311" t="str">
        <f t="shared" ca="1" si="11"/>
        <v>-</v>
      </c>
      <c r="AJ32" s="1311" t="str">
        <f t="shared" ca="1" si="11"/>
        <v>-</v>
      </c>
      <c r="AK32" s="1293" t="str">
        <f t="shared" ca="1" si="11"/>
        <v>-</v>
      </c>
      <c r="AL32" s="1293" t="str">
        <f t="shared" ca="1" si="11"/>
        <v>-</v>
      </c>
      <c r="AM32" s="1293" t="str">
        <f t="shared" ca="1" si="11"/>
        <v>-</v>
      </c>
      <c r="AN32" s="1304" t="str">
        <f t="shared" ca="1" si="11"/>
        <v>-</v>
      </c>
      <c r="AO32" s="1304" t="str">
        <f t="shared" ca="1" si="11"/>
        <v>-</v>
      </c>
      <c r="AP32" s="1304" t="str">
        <f t="shared" ca="1" si="11"/>
        <v>-</v>
      </c>
      <c r="AQ32" s="1293" t="str">
        <f t="shared" ca="1" si="11"/>
        <v>-</v>
      </c>
      <c r="AR32" s="1312" t="e">
        <f ca="1">INDIRECT("DatosP!CI"&amp;ROW()-1)/INDIRECT("DatosP!CJ"&amp;ROW()-1)</f>
        <v>#DIV/0!</v>
      </c>
      <c r="AS32" s="1295" t="e">
        <f ca="1">IF(OR(ISNUMBER(FIND("01",Criterios!A8,1)),ISNUMBER(FIND("02",Criterios!A8,1)),ISNUMBER(FIND("03",Criterios!A8,1)),ISNUMBER(FIND("04",Criterios!A8,1))),(J32-Y32+K32)/(F32-K32),(I32-Y32+K32)/(F32-K32))</f>
        <v>#VALUE!</v>
      </c>
      <c r="AT32" s="1313" t="str">
        <f ca="1">INDIRECT("AT"&amp;ROW()-1)</f>
        <v xml:space="preserve"> - </v>
      </c>
      <c r="AU32" s="1314" t="str">
        <f ca="1">IF(ISNUMBER(SUMIF($B8:$B30,$B32,AU8:AU30)/INDIRECT("DatosP!AP"&amp;ROW()-1)),SUMIF($B8:$B30,$B32,AU8:AU30)/INDIRECT("DatosP!AP"&amp;ROW()-1),"-")</f>
        <v>-</v>
      </c>
      <c r="AV32" s="1314" t="str">
        <f ca="1">IF(ISNUMBER(SUMIF($B8:$B30,$B32,AV8:AV30)/INDIRECT("DatosP!AP"&amp;ROW()-1)),SUMIF($B8:$B30,$B32,AV8:AV30)/INDIRECT("DatosP!AP"&amp;ROW()-1),"-")</f>
        <v>-</v>
      </c>
      <c r="AW32" s="1315" t="str">
        <f ca="1">IF(ISNUMBER(SUMIF($B8:$B30,$B32,AW8:AW30)/INDIRECT("DatosP!AP"&amp;ROW()-1)),SUMIF($B8:$B30,$B32,AW8:AW30)/INDIRECT("DatosP!AP"&amp;ROW()-1),"-")</f>
        <v>-</v>
      </c>
      <c r="AX32" s="1315" t="str">
        <f ca="1">IF(ISNUMBER(SUMIF($B8:$B30,$B32,AX8:AX30)/INDIRECT("DatosP!AP"&amp;ROW()-1)),SUMIF($B8:$B30,$B32,AX8:AX30)/INDIRECT("DatosP!AP"&amp;ROW()-1),"-")</f>
        <v>-</v>
      </c>
      <c r="AY32" s="1315"/>
      <c r="AZ32" s="1316"/>
      <c r="BT32" s="1239"/>
    </row>
    <row r="33" spans="1:72" ht="18.75" hidden="1" customHeight="1">
      <c r="A33" s="1006"/>
      <c r="B33" s="1006"/>
      <c r="C33" s="1006" t="s">
        <v>345</v>
      </c>
      <c r="D33" s="1007"/>
      <c r="E33" s="1008">
        <f>IF(ISNUMBER(STDEV(E8:E30)),STDEV(E8:E30),"-")</f>
        <v>0</v>
      </c>
      <c r="F33" s="1009">
        <f>IF(ISNUMBER(STDEV(F8:F30)),STDEV(F8:F30),"-")</f>
        <v>0</v>
      </c>
      <c r="G33" s="1010">
        <f>IF(ISNUMBER(STDEV(G8:G30)),STDEV(G8:G30),"-")</f>
        <v>0</v>
      </c>
      <c r="H33" s="1011"/>
      <c r="I33" s="1009">
        <f>IF(ISNUMBER(STDEV(I8:I30)),STDEV(I8:I30),"-")</f>
        <v>0</v>
      </c>
      <c r="J33" s="1012">
        <f>IF(ISNUMBER(STDEV(J8:J30)),STDEV(J8:J30),"-")</f>
        <v>0</v>
      </c>
      <c r="K33" s="1011"/>
      <c r="L33" s="1011"/>
      <c r="M33" s="1011"/>
      <c r="N33" s="1011"/>
      <c r="O33" s="1011"/>
      <c r="P33" s="1011"/>
      <c r="Q33" s="1516"/>
      <c r="R33" s="1516"/>
      <c r="S33" s="1011"/>
      <c r="T33" s="1516"/>
      <c r="U33" s="329"/>
      <c r="V33" s="1364"/>
      <c r="W33" s="1009">
        <f>IF(ISNUMBER(STDEV(W8:W30)),STDEV(W8:W30),"-")</f>
        <v>0</v>
      </c>
      <c r="X33" s="1013" t="str">
        <f>IF(ISNUMBER(STDEV(X8:X30)),STDEV(X8:X30),"-")</f>
        <v>-</v>
      </c>
      <c r="Y33" s="1011">
        <f>IF(ISNUMBER(STDEV(Y8:Y30)),STDEV(Y8:Y30),"-")</f>
        <v>0</v>
      </c>
      <c r="Z33" s="1014"/>
      <c r="AA33" s="1014"/>
      <c r="AB33" s="1014"/>
      <c r="AC33" s="1015">
        <f>IF(ISNUMBER(STDEV(AC8:AC30)),STDEV(AC8:AC30),"-")</f>
        <v>0</v>
      </c>
      <c r="AD33" s="1016">
        <f>IF(ISNUMBER(STDEV(AD8:AD30)),STDEV(AD8:AD30),"-")</f>
        <v>0</v>
      </c>
      <c r="AE33" s="1014">
        <f>IF(ISNUMBER(STDEV(AE8:AE30)),STDEV(AE8:AE30),"-")</f>
        <v>0</v>
      </c>
      <c r="AF33" s="1017"/>
      <c r="AG33" s="1017"/>
      <c r="AH33" s="1017"/>
      <c r="AI33" s="1017"/>
      <c r="AJ33" s="1017"/>
      <c r="AK33" s="1009">
        <f>IF(ISNUMBER(STDEV(AK8:AK30)),STDEV(AK8:AK30),"-")</f>
        <v>0</v>
      </c>
      <c r="AL33" s="1009"/>
      <c r="AM33" s="1009">
        <f>IF(ISNUMBER(STDEV(AM8:AM30)),STDEV(AM8:AM30),"-")</f>
        <v>0</v>
      </c>
      <c r="AN33" s="1015">
        <f>IF(ISNUMBER(STDEV(AN8:AN30)),STDEV(AN8:AN30),"-")</f>
        <v>0</v>
      </c>
      <c r="AO33" s="1067" t="str">
        <f>IF(ISNUMBER(STDEV(AO8:AO30)),STDEV(AO8:AO30),"-")</f>
        <v>-</v>
      </c>
      <c r="AP33" s="1068" t="str">
        <f>IF(ISNUMBER(STDEV(AP8:AP30)),STDEV(AP8:AP30),"-")</f>
        <v>-</v>
      </c>
      <c r="AQ33" s="1018">
        <f>IF(ISNUMBER(STDEV(AQ8:AQ30)),STDEV(AQ8:AQ30),"-")</f>
        <v>0.1867867582381251</v>
      </c>
      <c r="AR33" s="935" t="str">
        <f>IF(ISNUMBER(AS33/AT33),AS33/AT33," - ")</f>
        <v xml:space="preserve"> - </v>
      </c>
      <c r="AS33" s="1019" t="str">
        <f>IF(ISNUMBER(STDEV(AS8:AS30)),STDEV(AS8:AS30),"-")</f>
        <v>-</v>
      </c>
      <c r="AT33" s="1020"/>
      <c r="AU33" s="1021"/>
      <c r="AV33" s="1021"/>
      <c r="AW33" s="1022">
        <f>IF(ISNUMBER(STDEV(AW8:AW30)),STDEV(AW8:AW30),"-")</f>
        <v>0</v>
      </c>
      <c r="AX33" s="1022"/>
      <c r="AY33" s="1023">
        <f>IF(ISNUMBER(STDEV(AY8:AY30)),STDEV(AY8:AY30),"-")</f>
        <v>0</v>
      </c>
      <c r="AZ33" s="1024">
        <f>IF(ISNUMBER(STDEV(AZ8:AZ30)),STDEV(AZ8:AZ30),"-")</f>
        <v>0</v>
      </c>
      <c r="BT33" s="689">
        <f>IF(ISNUMBER(STDEV(BT8:BT30)),STDEV(BT8:BT30),"-")</f>
        <v>0</v>
      </c>
    </row>
    <row r="34" spans="1:72" ht="12" customHeight="1" thickTop="1">
      <c r="C34" s="74"/>
      <c r="D34" s="564"/>
      <c r="F34" s="1025"/>
      <c r="G34" s="1026"/>
      <c r="H34" s="1025"/>
      <c r="I34" s="1025"/>
      <c r="K34" s="1025"/>
      <c r="L34" s="1025"/>
      <c r="M34" s="1027"/>
      <c r="N34" s="1027"/>
      <c r="O34" s="1025"/>
      <c r="P34" s="1025"/>
      <c r="Q34" s="1517"/>
      <c r="R34" s="1517"/>
      <c r="S34" s="1025"/>
      <c r="T34" s="1517"/>
      <c r="U34" s="102"/>
      <c r="V34" s="1365"/>
      <c r="W34" s="1025"/>
      <c r="X34" s="1028"/>
      <c r="Y34" s="1025"/>
      <c r="Z34" s="1025"/>
      <c r="AA34" s="1025"/>
      <c r="AB34" s="1025"/>
      <c r="AC34" s="1025"/>
      <c r="AD34" s="1025"/>
      <c r="AE34" s="1025"/>
      <c r="AF34" s="1025"/>
      <c r="AG34" s="1025"/>
      <c r="AH34" s="1025"/>
      <c r="AI34" s="1025"/>
      <c r="AJ34" s="1025"/>
      <c r="AK34" s="1025"/>
      <c r="AL34" s="1025"/>
      <c r="AM34" s="1025"/>
      <c r="AN34" s="1025"/>
      <c r="AO34" s="1026"/>
      <c r="AP34" s="1026"/>
      <c r="AQ34" s="1025"/>
      <c r="AR34" s="1028"/>
      <c r="AS34" s="1025" t="s">
        <v>549</v>
      </c>
      <c r="AT34" s="1029"/>
      <c r="AU34" s="1030"/>
      <c r="AV34" s="1030"/>
      <c r="AW34" s="1025"/>
      <c r="AX34" s="1025"/>
      <c r="AY34" s="1031"/>
      <c r="AZ34" s="1032"/>
      <c r="BT34" s="695"/>
    </row>
    <row r="35" spans="1:72" ht="14.25">
      <c r="C35" s="173"/>
      <c r="D35" s="639"/>
      <c r="E35" s="1033"/>
      <c r="F35" s="1034"/>
      <c r="G35" s="917"/>
      <c r="H35" s="1035"/>
      <c r="I35" s="1035"/>
      <c r="J35" s="1036"/>
      <c r="K35" s="1035"/>
      <c r="L35" s="1035"/>
      <c r="M35" s="999"/>
      <c r="N35" s="999"/>
      <c r="O35" s="1035"/>
      <c r="P35" s="1035"/>
      <c r="Q35" s="1512"/>
      <c r="R35" s="1512"/>
      <c r="S35" s="1035"/>
      <c r="T35" s="1512"/>
      <c r="U35" s="330"/>
      <c r="V35" s="1366"/>
      <c r="W35" s="999"/>
      <c r="X35" s="982"/>
      <c r="Y35" s="1035"/>
      <c r="Z35" s="1037"/>
      <c r="AA35" s="897"/>
      <c r="AB35" s="1037"/>
      <c r="AC35" s="1035"/>
      <c r="AD35" s="1035"/>
      <c r="AE35" s="1035"/>
      <c r="AF35" s="1035"/>
      <c r="AG35" s="1035"/>
      <c r="AH35" s="1035"/>
      <c r="AI35" s="1035"/>
      <c r="AJ35" s="1035"/>
      <c r="AK35" s="1035"/>
      <c r="AL35" s="1035"/>
      <c r="AM35" s="1035"/>
      <c r="AN35" s="1035"/>
      <c r="AO35" s="1069"/>
      <c r="AP35" s="1069"/>
      <c r="AQ35" s="1035"/>
      <c r="AR35" s="982"/>
      <c r="AS35" s="982"/>
      <c r="AT35" s="928"/>
      <c r="AU35" s="1038"/>
      <c r="AV35" s="1038"/>
      <c r="AW35" s="1035"/>
      <c r="AX35" s="1035"/>
      <c r="AY35" s="1039"/>
      <c r="AZ35" s="1039"/>
      <c r="BT35" s="700"/>
    </row>
    <row r="36" spans="1:72" ht="14.25">
      <c r="C36" s="7"/>
      <c r="D36" s="643"/>
      <c r="E36" s="1033"/>
      <c r="F36" s="1034"/>
      <c r="G36" s="917"/>
      <c r="H36" s="1035"/>
      <c r="I36" s="1035"/>
      <c r="J36" s="1036"/>
      <c r="K36" s="1035"/>
      <c r="L36" s="1035"/>
      <c r="M36" s="999"/>
      <c r="N36" s="999"/>
      <c r="O36" s="1035"/>
      <c r="P36" s="1035"/>
      <c r="Q36" s="1512"/>
      <c r="R36" s="1512"/>
      <c r="S36" s="1035"/>
      <c r="T36" s="1512"/>
      <c r="U36" s="330"/>
      <c r="V36" s="1366"/>
      <c r="W36" s="999"/>
      <c r="X36" s="982"/>
      <c r="Y36" s="1035"/>
      <c r="Z36" s="1037"/>
      <c r="AA36" s="897"/>
      <c r="AB36" s="1037"/>
      <c r="AC36" s="1035"/>
      <c r="AD36" s="1035"/>
      <c r="AE36" s="1035"/>
      <c r="AF36" s="1035"/>
      <c r="AG36" s="1035"/>
      <c r="AH36" s="1035"/>
      <c r="AI36" s="1035"/>
      <c r="AJ36" s="1035"/>
      <c r="AK36" s="1035"/>
      <c r="AL36" s="1035"/>
      <c r="AM36" s="1035"/>
      <c r="AN36" s="1035"/>
      <c r="AO36" s="1069"/>
      <c r="AP36" s="1069"/>
      <c r="AQ36" s="1035"/>
      <c r="AR36" s="982"/>
      <c r="AS36" s="982"/>
      <c r="AT36" s="928"/>
      <c r="AU36" s="1038"/>
      <c r="AV36" s="1038"/>
      <c r="AW36" s="1035"/>
      <c r="AX36" s="1035"/>
      <c r="AY36" s="1039"/>
      <c r="AZ36" s="1039"/>
      <c r="BT36" s="700"/>
    </row>
    <row r="37" spans="1:72" ht="12.75" hidden="1" customHeight="1">
      <c r="C37" s="644" t="s">
        <v>342</v>
      </c>
      <c r="D37" s="643"/>
      <c r="E37" s="1040">
        <f t="shared" ref="E37:AV37" si="12">E35+2*E36</f>
        <v>0</v>
      </c>
      <c r="F37" s="1000">
        <f t="shared" si="12"/>
        <v>0</v>
      </c>
      <c r="G37" s="1041">
        <f t="shared" si="12"/>
        <v>0</v>
      </c>
      <c r="H37" s="1042">
        <f>H35+2*H36</f>
        <v>0</v>
      </c>
      <c r="I37" s="1042">
        <f t="shared" si="12"/>
        <v>0</v>
      </c>
      <c r="J37" s="1043">
        <f>J35+2*J36</f>
        <v>0</v>
      </c>
      <c r="K37" s="1042">
        <f t="shared" si="12"/>
        <v>0</v>
      </c>
      <c r="L37" s="1042">
        <f t="shared" si="12"/>
        <v>0</v>
      </c>
      <c r="M37" s="1042">
        <f t="shared" si="12"/>
        <v>0</v>
      </c>
      <c r="N37" s="1042">
        <f t="shared" si="12"/>
        <v>0</v>
      </c>
      <c r="O37" s="1042">
        <f t="shared" si="12"/>
        <v>0</v>
      </c>
      <c r="P37" s="1042">
        <f t="shared" si="12"/>
        <v>0</v>
      </c>
      <c r="Q37" s="1044">
        <f t="shared" si="12"/>
        <v>0</v>
      </c>
      <c r="R37" s="1044">
        <f t="shared" si="12"/>
        <v>0</v>
      </c>
      <c r="S37" s="1042">
        <f t="shared" si="12"/>
        <v>0</v>
      </c>
      <c r="T37" s="1045">
        <f t="shared" si="12"/>
        <v>0</v>
      </c>
      <c r="U37" s="1080">
        <f t="shared" si="12"/>
        <v>0</v>
      </c>
      <c r="V37" s="1045">
        <f t="shared" si="12"/>
        <v>0</v>
      </c>
      <c r="W37" s="971">
        <f t="shared" si="12"/>
        <v>0</v>
      </c>
      <c r="X37" s="1046">
        <f t="shared" si="12"/>
        <v>0</v>
      </c>
      <c r="Y37" s="971">
        <f t="shared" si="12"/>
        <v>0</v>
      </c>
      <c r="Z37" s="971">
        <f t="shared" si="12"/>
        <v>0</v>
      </c>
      <c r="AA37" s="971">
        <f t="shared" si="12"/>
        <v>0</v>
      </c>
      <c r="AB37" s="971">
        <f t="shared" si="12"/>
        <v>0</v>
      </c>
      <c r="AC37" s="971">
        <f t="shared" si="12"/>
        <v>0</v>
      </c>
      <c r="AD37" s="971">
        <f t="shared" si="12"/>
        <v>0</v>
      </c>
      <c r="AE37" s="971">
        <f t="shared" si="12"/>
        <v>0</v>
      </c>
      <c r="AF37" s="971">
        <f t="shared" si="12"/>
        <v>0</v>
      </c>
      <c r="AG37" s="971">
        <f t="shared" si="12"/>
        <v>0</v>
      </c>
      <c r="AH37" s="971">
        <f t="shared" si="12"/>
        <v>0</v>
      </c>
      <c r="AI37" s="971">
        <f t="shared" si="12"/>
        <v>0</v>
      </c>
      <c r="AJ37" s="971">
        <f t="shared" si="12"/>
        <v>0</v>
      </c>
      <c r="AK37" s="971">
        <f t="shared" si="12"/>
        <v>0</v>
      </c>
      <c r="AL37" s="971">
        <f t="shared" si="12"/>
        <v>0</v>
      </c>
      <c r="AM37" s="971">
        <f t="shared" si="12"/>
        <v>0</v>
      </c>
      <c r="AN37" s="971">
        <f t="shared" si="12"/>
        <v>0</v>
      </c>
      <c r="AO37" s="1070">
        <f t="shared" si="12"/>
        <v>0</v>
      </c>
      <c r="AP37" s="1070">
        <f t="shared" si="12"/>
        <v>0</v>
      </c>
      <c r="AQ37" s="1047">
        <f>AQ35+2*AQ36</f>
        <v>0</v>
      </c>
      <c r="AR37" s="1046">
        <f t="shared" si="12"/>
        <v>0</v>
      </c>
      <c r="AS37" s="1048">
        <f t="shared" si="12"/>
        <v>0</v>
      </c>
      <c r="AT37" s="1048">
        <f t="shared" si="12"/>
        <v>0</v>
      </c>
      <c r="AU37" s="971">
        <f t="shared" si="12"/>
        <v>0</v>
      </c>
      <c r="AV37" s="971">
        <f t="shared" si="12"/>
        <v>0</v>
      </c>
      <c r="AW37" s="971">
        <f>AW35+2*AW36</f>
        <v>0</v>
      </c>
      <c r="AX37" s="971">
        <f>AX35+2*AX36</f>
        <v>0</v>
      </c>
      <c r="AY37" s="971">
        <f>(AY35-ultimoDiaTrim)+2*AY36</f>
        <v>0</v>
      </c>
      <c r="AZ37" s="1049"/>
      <c r="BT37" s="648"/>
    </row>
    <row r="38" spans="1:72" ht="12.75" hidden="1" customHeight="1">
      <c r="C38" s="644" t="s">
        <v>343</v>
      </c>
      <c r="D38" s="643"/>
      <c r="E38" s="1040">
        <f t="shared" ref="E38:AV38" si="13">MIN(0,E35-2*E36)</f>
        <v>0</v>
      </c>
      <c r="F38" s="1000">
        <f t="shared" si="13"/>
        <v>0</v>
      </c>
      <c r="G38" s="1041">
        <f t="shared" si="13"/>
        <v>0</v>
      </c>
      <c r="H38" s="971">
        <f>MIN(0,H35-2*H36)</f>
        <v>0</v>
      </c>
      <c r="I38" s="971">
        <f t="shared" si="13"/>
        <v>0</v>
      </c>
      <c r="J38" s="1050">
        <f>MIN(0,J35-2*J36)</f>
        <v>0</v>
      </c>
      <c r="K38" s="971">
        <f t="shared" si="13"/>
        <v>0</v>
      </c>
      <c r="L38" s="971">
        <f t="shared" si="13"/>
        <v>0</v>
      </c>
      <c r="M38" s="971">
        <f t="shared" si="13"/>
        <v>0</v>
      </c>
      <c r="N38" s="971">
        <f t="shared" si="13"/>
        <v>0</v>
      </c>
      <c r="O38" s="971">
        <f t="shared" si="13"/>
        <v>0</v>
      </c>
      <c r="P38" s="971">
        <f t="shared" si="13"/>
        <v>0</v>
      </c>
      <c r="Q38" s="1046">
        <f t="shared" si="13"/>
        <v>0</v>
      </c>
      <c r="R38" s="1046">
        <f t="shared" si="13"/>
        <v>0</v>
      </c>
      <c r="S38" s="971">
        <f t="shared" si="13"/>
        <v>0</v>
      </c>
      <c r="T38" s="1048">
        <f t="shared" si="13"/>
        <v>0</v>
      </c>
      <c r="U38" s="1081">
        <f t="shared" si="13"/>
        <v>0</v>
      </c>
      <c r="V38" s="1048">
        <f t="shared" si="13"/>
        <v>0</v>
      </c>
      <c r="W38" s="971">
        <f t="shared" si="13"/>
        <v>0</v>
      </c>
      <c r="X38" s="1046">
        <f t="shared" si="13"/>
        <v>0</v>
      </c>
      <c r="Y38" s="971">
        <f t="shared" si="13"/>
        <v>0</v>
      </c>
      <c r="Z38" s="971">
        <f t="shared" si="13"/>
        <v>0</v>
      </c>
      <c r="AA38" s="971">
        <f t="shared" si="13"/>
        <v>0</v>
      </c>
      <c r="AB38" s="971">
        <f t="shared" si="13"/>
        <v>0</v>
      </c>
      <c r="AC38" s="971">
        <f t="shared" si="13"/>
        <v>0</v>
      </c>
      <c r="AD38" s="971">
        <f t="shared" si="13"/>
        <v>0</v>
      </c>
      <c r="AE38" s="971">
        <f t="shared" si="13"/>
        <v>0</v>
      </c>
      <c r="AF38" s="971">
        <f t="shared" si="13"/>
        <v>0</v>
      </c>
      <c r="AG38" s="971">
        <f t="shared" si="13"/>
        <v>0</v>
      </c>
      <c r="AH38" s="971">
        <f t="shared" si="13"/>
        <v>0</v>
      </c>
      <c r="AI38" s="971">
        <f t="shared" si="13"/>
        <v>0</v>
      </c>
      <c r="AJ38" s="971">
        <f t="shared" si="13"/>
        <v>0</v>
      </c>
      <c r="AK38" s="971">
        <f t="shared" si="13"/>
        <v>0</v>
      </c>
      <c r="AL38" s="971">
        <f t="shared" si="13"/>
        <v>0</v>
      </c>
      <c r="AM38" s="971">
        <f t="shared" si="13"/>
        <v>0</v>
      </c>
      <c r="AN38" s="971">
        <f t="shared" si="13"/>
        <v>0</v>
      </c>
      <c r="AO38" s="1070">
        <f t="shared" si="13"/>
        <v>0</v>
      </c>
      <c r="AP38" s="1070">
        <f t="shared" si="13"/>
        <v>0</v>
      </c>
      <c r="AQ38" s="1047">
        <f>MIN(0,AQ35-2*AQ36)</f>
        <v>0</v>
      </c>
      <c r="AR38" s="1046">
        <f t="shared" si="13"/>
        <v>0</v>
      </c>
      <c r="AS38" s="1048">
        <f t="shared" si="13"/>
        <v>0</v>
      </c>
      <c r="AT38" s="1048">
        <f t="shared" si="13"/>
        <v>0</v>
      </c>
      <c r="AU38" s="971">
        <f t="shared" si="13"/>
        <v>0</v>
      </c>
      <c r="AV38" s="971">
        <f t="shared" si="13"/>
        <v>0</v>
      </c>
      <c r="AW38" s="971">
        <f>MIN(0,AW35-2*AW36)</f>
        <v>0</v>
      </c>
      <c r="AX38" s="971">
        <f>MIN(0,AX35-2*AX36)</f>
        <v>0</v>
      </c>
      <c r="AY38" s="971">
        <f>MIN(0,(AY35-ultimoDiaTrim)-2*AY36)</f>
        <v>0</v>
      </c>
      <c r="AZ38" s="1049"/>
      <c r="BT38" s="648"/>
    </row>
    <row r="39" spans="1:72">
      <c r="C39" s="74"/>
      <c r="D39" s="564"/>
    </row>
    <row r="42" spans="1:72">
      <c r="C42" s="860" t="str">
        <f>Criterios!A4</f>
        <v>Fecha Informe: 05 abr. 2022</v>
      </c>
    </row>
    <row r="44" spans="1:72">
      <c r="C44" s="1051"/>
      <c r="D44" s="1052"/>
    </row>
  </sheetData>
  <sheetProtection algorithmName="SHA-512" hashValue="qPh6WLQfiX/v8peiWA3AeyXkc6j4b9sEt5Q307RAQLTwfCzhHYoW/cl5ziFq9luciGoL6SQ6o/zIf8GBavxFDA==" saltValue="P8nhOaIhspr9aRgHKNkesw==" spinCount="100000" sheet="1" objects="1" scenarios="1"/>
  <mergeCells count="52">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T5:BT7"/>
    <mergeCell ref="AX5:AX7"/>
    <mergeCell ref="AY5:AY7"/>
    <mergeCell ref="AZ5:AZ7"/>
    <mergeCell ref="AR5:AR7"/>
    <mergeCell ref="AS5:AS7"/>
    <mergeCell ref="AT5:AT7"/>
    <mergeCell ref="AU5:AU7"/>
    <mergeCell ref="AV5:AV7"/>
    <mergeCell ref="AW5:AW7"/>
  </mergeCells>
  <conditionalFormatting sqref="F9:F13 F16:F22 F25 F28:F29">
    <cfRule type="expression" dxfId="136" priority="264" stopIfTrue="1">
      <formula>IF(F9&lt;&gt;G9,TRUE,FALSE)</formula>
    </cfRule>
  </conditionalFormatting>
  <conditionalFormatting sqref="G10 G25 G13 G16:G22">
    <cfRule type="cellIs" dxfId="135" priority="265" stopIfTrue="1" operator="notBetween">
      <formula>$G$37</formula>
      <formula>$G$38</formula>
    </cfRule>
  </conditionalFormatting>
  <conditionalFormatting sqref="F25 F9:F13 F16:F22">
    <cfRule type="cellIs" dxfId="134" priority="266" stopIfTrue="1" operator="notBetween">
      <formula>$F$37</formula>
      <formula>$F$38</formula>
    </cfRule>
  </conditionalFormatting>
  <conditionalFormatting sqref="F28:F29">
    <cfRule type="cellIs" dxfId="133" priority="260" stopIfTrue="1" operator="notBetween">
      <formula>$F$37</formula>
      <formula>$F$38</formula>
    </cfRule>
  </conditionalFormatting>
  <conditionalFormatting sqref="I25 I28:I29 I9:I13 I16:I22">
    <cfRule type="cellIs" dxfId="132" priority="271" stopIfTrue="1" operator="notBetween">
      <formula>$I$37</formula>
      <formula>$I$38</formula>
    </cfRule>
  </conditionalFormatting>
  <conditionalFormatting sqref="K25 K28:K29 K9:K13 K16:K22">
    <cfRule type="cellIs" dxfId="131" priority="251" stopIfTrue="1" operator="notBetween">
      <formula>$K$37</formula>
      <formula>$K$38</formula>
    </cfRule>
  </conditionalFormatting>
  <conditionalFormatting sqref="M25 M9:M13 M28:M29 M16:M22">
    <cfRule type="cellIs" dxfId="130" priority="250" stopIfTrue="1" operator="notBetween">
      <formula>$M$37</formula>
      <formula>$M$38</formula>
    </cfRule>
  </conditionalFormatting>
  <conditionalFormatting sqref="P25 P9:P13 P28:P29 P16:P22">
    <cfRule type="cellIs" dxfId="129" priority="249" stopIfTrue="1" operator="notBetween">
      <formula>$P$37</formula>
      <formula>$P$38</formula>
    </cfRule>
  </conditionalFormatting>
  <conditionalFormatting sqref="H25 H9:H13 H28:H29 H16:H22">
    <cfRule type="cellIs" dxfId="128" priority="248" stopIfTrue="1" operator="notBetween">
      <formula>$H$37</formula>
      <formula>$H$38</formula>
    </cfRule>
  </conditionalFormatting>
  <conditionalFormatting sqref="R25 R9:R13 R28:R29 R16:R22">
    <cfRule type="cellIs" dxfId="127" priority="247" stopIfTrue="1" operator="notBetween">
      <formula>$R$37</formula>
      <formula>$R$38</formula>
    </cfRule>
  </conditionalFormatting>
  <conditionalFormatting sqref="S25 S28:S29 S9:S13 S16:S22">
    <cfRule type="cellIs" dxfId="126" priority="246" stopIfTrue="1" operator="notBetween">
      <formula>$S$37</formula>
      <formula>$S$38</formula>
    </cfRule>
  </conditionalFormatting>
  <conditionalFormatting sqref="T25 T28:T29 T9:T13 T16:T22">
    <cfRule type="cellIs" dxfId="125" priority="245" stopIfTrue="1" operator="notBetween">
      <formula>$T$37</formula>
      <formula>$T$38</formula>
    </cfRule>
  </conditionalFormatting>
  <conditionalFormatting sqref="W25 W28:W29 W16:W22 W9:W13">
    <cfRule type="cellIs" dxfId="124" priority="243" stopIfTrue="1" operator="notBetween">
      <formula>$W$37</formula>
      <formula>$W$38</formula>
    </cfRule>
  </conditionalFormatting>
  <conditionalFormatting sqref="X25 X28:X29 X9:X13 X16:X22">
    <cfRule type="cellIs" dxfId="123" priority="241" stopIfTrue="1" operator="notBetween">
      <formula>$X$37</formula>
      <formula>$X$38</formula>
    </cfRule>
  </conditionalFormatting>
  <conditionalFormatting sqref="Y25 Y28:Y29 Y9:Y13 Y16:Y22">
    <cfRule type="cellIs" dxfId="122" priority="240" stopIfTrue="1" operator="notBetween">
      <formula>$Y$37</formula>
      <formula>$Y$38</formula>
    </cfRule>
  </conditionalFormatting>
  <conditionalFormatting sqref="AA25 AA28:AA29 AA9:AA13 AA16:AA22">
    <cfRule type="cellIs" dxfId="121" priority="239" stopIfTrue="1" operator="notBetween">
      <formula>$AA$37</formula>
      <formula>$AA$38</formula>
    </cfRule>
  </conditionalFormatting>
  <conditionalFormatting sqref="AB25 AB28:AB29 AB16:AB22 AB9:AB13">
    <cfRule type="cellIs" dxfId="120" priority="238" stopIfTrue="1" operator="notBetween">
      <formula>$AB$37</formula>
      <formula>$AB$38</formula>
    </cfRule>
  </conditionalFormatting>
  <conditionalFormatting sqref="AC25 AC9:AC13 AC28:AC29 AC16:AC22">
    <cfRule type="cellIs" dxfId="119" priority="232" stopIfTrue="1" operator="notBetween">
      <formula>$AC$37</formula>
      <formula>$AC$38</formula>
    </cfRule>
  </conditionalFormatting>
  <conditionalFormatting sqref="AD25 AD9:AD13 AD28:AD29 AD16:AD22">
    <cfRule type="cellIs" dxfId="118" priority="231" stopIfTrue="1" operator="notBetween">
      <formula>$AD$37</formula>
      <formula>$AD$38</formula>
    </cfRule>
  </conditionalFormatting>
  <conditionalFormatting sqref="AE25 AE9:AE13 AE28:AE29 AE16:AE22">
    <cfRule type="cellIs" dxfId="117" priority="230" stopIfTrue="1" operator="notBetween">
      <formula>$AE$37</formula>
      <formula>$AE$38</formula>
    </cfRule>
  </conditionalFormatting>
  <conditionalFormatting sqref="AF25 AF9:AF13 AF28:AF29 AF16:AF22">
    <cfRule type="cellIs" dxfId="116" priority="229" stopIfTrue="1" operator="notBetween">
      <formula>$AF$37</formula>
      <formula>$AF$38</formula>
    </cfRule>
  </conditionalFormatting>
  <conditionalFormatting sqref="AG25 AG9:AG13 AG28:AG29 AG16:AG22">
    <cfRule type="cellIs" dxfId="115" priority="228" stopIfTrue="1" operator="notBetween">
      <formula>$AG$37</formula>
      <formula>$AG$38</formula>
    </cfRule>
  </conditionalFormatting>
  <conditionalFormatting sqref="AH25 AH9:AH13 AH28:AH29 AH16:AH22">
    <cfRule type="cellIs" dxfId="114" priority="227" stopIfTrue="1" operator="notBetween">
      <formula>$AH$37</formula>
      <formula>$AH$38</formula>
    </cfRule>
  </conditionalFormatting>
  <conditionalFormatting sqref="AI25 AI9:AI13 AI28:AI29 AI16:AI22">
    <cfRule type="cellIs" dxfId="113" priority="226" stopIfTrue="1" operator="notBetween">
      <formula>$AI$37</formula>
      <formula>$AI$38</formula>
    </cfRule>
  </conditionalFormatting>
  <conditionalFormatting sqref="AJ25 AJ9:AJ13 AJ28:AJ29 AJ16:AJ22">
    <cfRule type="cellIs" dxfId="112" priority="225" stopIfTrue="1" operator="notBetween">
      <formula>$AJ$37</formula>
      <formula>$AJ$38</formula>
    </cfRule>
  </conditionalFormatting>
  <conditionalFormatting sqref="AK25 AK28:AK29 AK16:AK22 AK9:AK13">
    <cfRule type="cellIs" dxfId="111" priority="224" stopIfTrue="1" operator="notBetween">
      <formula>$AK$37</formula>
      <formula>$AK$38</formula>
    </cfRule>
  </conditionalFormatting>
  <conditionalFormatting sqref="AL25 AL9:AL13 AL28:AL29 AL16:AL22">
    <cfRule type="cellIs" dxfId="110" priority="221" stopIfTrue="1" operator="notBetween">
      <formula>$AL$37</formula>
      <formula>$AL$38</formula>
    </cfRule>
  </conditionalFormatting>
  <conditionalFormatting sqref="AM25 AM9:AM13 AM28:AM29 AM16:AM22">
    <cfRule type="cellIs" dxfId="109" priority="220" stopIfTrue="1" operator="notBetween">
      <formula>$AM$37</formula>
      <formula>$AM$38</formula>
    </cfRule>
  </conditionalFormatting>
  <conditionalFormatting sqref="AN25 AN9:AN13 AN28:AN29 AN16:AN22">
    <cfRule type="cellIs" dxfId="108" priority="219" stopIfTrue="1" operator="notBetween">
      <formula>$AN$37</formula>
      <formula>$AN$38</formula>
    </cfRule>
  </conditionalFormatting>
  <conditionalFormatting sqref="AP25 AP28:AP29 AP9:AP13 AP16:AP22">
    <cfRule type="cellIs" dxfId="107" priority="218" stopIfTrue="1" operator="notBetween">
      <formula>$AP$37</formula>
      <formula>$AP$38</formula>
    </cfRule>
  </conditionalFormatting>
  <conditionalFormatting sqref="AQ25 AQ9:AQ13 AQ28:AQ29 AQ16:AQ22">
    <cfRule type="cellIs" dxfId="106" priority="217" stopIfTrue="1" operator="notBetween">
      <formula>$AQ$37</formula>
      <formula>$AQ$38</formula>
    </cfRule>
  </conditionalFormatting>
  <conditionalFormatting sqref="AR25 AR28:AR29 AR9:AR13 AR16:AR22">
    <cfRule type="cellIs" dxfId="105" priority="216" stopIfTrue="1" operator="notBetween">
      <formula>$AR$37</formula>
      <formula>$AR$38</formula>
    </cfRule>
  </conditionalFormatting>
  <conditionalFormatting sqref="AS25 AS28:AS29 AS16:AS22 AS9:AS13">
    <cfRule type="cellIs" dxfId="104" priority="215" stopIfTrue="1" operator="notBetween">
      <formula>$AS$37</formula>
      <formula>$AS$38</formula>
    </cfRule>
  </conditionalFormatting>
  <conditionalFormatting sqref="AT25 AT28:AT29 AT9:AT13 AT16:AT22">
    <cfRule type="cellIs" dxfId="103" priority="213" stopIfTrue="1" operator="notBetween">
      <formula>$AT$37</formula>
      <formula>$AT$38</formula>
    </cfRule>
  </conditionalFormatting>
  <conditionalFormatting sqref="AU25 AU9:AU13 AU28:AU29 AU16:AU22">
    <cfRule type="cellIs" dxfId="102" priority="212" stopIfTrue="1" operator="notBetween">
      <formula>$AU$37</formula>
      <formula>$AU$38</formula>
    </cfRule>
  </conditionalFormatting>
  <conditionalFormatting sqref="AV25 AV9:AV13 AV28:AV29 AV16:AV22">
    <cfRule type="cellIs" dxfId="101" priority="211" stopIfTrue="1" operator="notBetween">
      <formula>$AV$37</formula>
      <formula>$AV$38</formula>
    </cfRule>
  </conditionalFormatting>
  <conditionalFormatting sqref="AW25 AW9:AW13 AW28:AW29 AW16:AW22">
    <cfRule type="cellIs" dxfId="100" priority="210" stopIfTrue="1" operator="notBetween">
      <formula>$AW$37</formula>
      <formula>$AW$38</formula>
    </cfRule>
  </conditionalFormatting>
  <conditionalFormatting sqref="AX25 AX9:AX13 AX28:AX29 AX16:AX22">
    <cfRule type="cellIs" dxfId="99" priority="209" stopIfTrue="1" operator="notBetween">
      <formula>$AX$37</formula>
      <formula>$AX$38</formula>
    </cfRule>
  </conditionalFormatting>
  <conditionalFormatting sqref="O25 O9:O13 O28:O29 O16:O22">
    <cfRule type="cellIs" dxfId="98" priority="208" stopIfTrue="1" operator="notBetween">
      <formula>$O$37</formula>
      <formula>$O$38</formula>
    </cfRule>
  </conditionalFormatting>
  <conditionalFormatting sqref="G9">
    <cfRule type="expression" dxfId="97" priority="272" stopIfTrue="1">
      <formula>IF(G9&lt;&gt;I9,TRUE,FALSE)</formula>
    </cfRule>
  </conditionalFormatting>
  <conditionalFormatting sqref="Z25 Z9:Z13 Z28:Z29 Z16:Z22">
    <cfRule type="cellIs" dxfId="96" priority="187" stopIfTrue="1" operator="notBetween">
      <formula>$Z$37</formula>
      <formula>$Z$38</formula>
    </cfRule>
  </conditionalFormatting>
  <conditionalFormatting sqref="AO25 AO28:AO29 AO9:AO13 AO16:AO22">
    <cfRule type="cellIs" dxfId="95" priority="186" stopIfTrue="1" operator="notBetween">
      <formula>$AO$37</formula>
      <formula>$AO$38</formula>
    </cfRule>
  </conditionalFormatting>
  <conditionalFormatting sqref="J16:J22 J9:J13 J25 J28:J29">
    <cfRule type="cellIs" dxfId="94" priority="2342" stopIfTrue="1" operator="notBetween">
      <formula>$J$37</formula>
      <formula>$J$38</formula>
    </cfRule>
  </conditionalFormatting>
  <conditionalFormatting sqref="E16:E22 E9:E13 E25 E28:E29">
    <cfRule type="cellIs" dxfId="93" priority="185" stopIfTrue="1" operator="notBetween">
      <formula>$E$37</formula>
      <formula>$E$38</formula>
    </cfRule>
  </conditionalFormatting>
  <conditionalFormatting sqref="I11">
    <cfRule type="cellIs" dxfId="92" priority="2398" stopIfTrue="1" operator="greaterThan">
      <formula>#REF!</formula>
    </cfRule>
    <cfRule type="cellIs" dxfId="91" priority="2399" stopIfTrue="1" operator="lessThan">
      <formula>#REF!</formula>
    </cfRule>
  </conditionalFormatting>
  <conditionalFormatting sqref="I12">
    <cfRule type="cellIs" dxfId="90" priority="2400" stopIfTrue="1" operator="greaterThan">
      <formula>#REF!</formula>
    </cfRule>
    <cfRule type="cellIs" dxfId="89" priority="2401" stopIfTrue="1" operator="lessThan">
      <formula>#REF!</formula>
    </cfRule>
  </conditionalFormatting>
  <conditionalFormatting sqref="I21">
    <cfRule type="cellIs" dxfId="88" priority="2402" stopIfTrue="1" operator="greaterThan">
      <formula>#REF!</formula>
    </cfRule>
    <cfRule type="cellIs" dxfId="87" priority="2403" stopIfTrue="1" operator="lessThan">
      <formula>#REF!</formula>
    </cfRule>
  </conditionalFormatting>
  <conditionalFormatting sqref="H21">
    <cfRule type="cellIs" dxfId="86" priority="2404" stopIfTrue="1" operator="greaterThan">
      <formula>#REF!</formula>
    </cfRule>
    <cfRule type="cellIs" dxfId="85" priority="2405" stopIfTrue="1" operator="lessThan">
      <formula>#REF!</formula>
    </cfRule>
  </conditionalFormatting>
  <conditionalFormatting sqref="U9">
    <cfRule type="cellIs" dxfId="84" priority="90" stopIfTrue="1" operator="greaterThan">
      <formula>$BT$9</formula>
    </cfRule>
    <cfRule type="cellIs" dxfId="83" priority="91" stopIfTrue="1" operator="lessThan">
      <formula>$BT$9</formula>
    </cfRule>
  </conditionalFormatting>
  <conditionalFormatting sqref="U10">
    <cfRule type="cellIs" dxfId="82" priority="86" stopIfTrue="1" operator="greaterThan">
      <formula>$BT$10</formula>
    </cfRule>
    <cfRule type="cellIs" dxfId="81" priority="87" stopIfTrue="1" operator="lessThan">
      <formula>$BT$10</formula>
    </cfRule>
  </conditionalFormatting>
  <conditionalFormatting sqref="U11">
    <cfRule type="cellIs" dxfId="80" priority="82" stopIfTrue="1" operator="greaterThan">
      <formula>$BT$11</formula>
    </cfRule>
    <cfRule type="cellIs" dxfId="79" priority="83" stopIfTrue="1" operator="lessThan">
      <formula>$BT$11</formula>
    </cfRule>
  </conditionalFormatting>
  <conditionalFormatting sqref="U12">
    <cfRule type="cellIs" dxfId="78" priority="80" stopIfTrue="1" operator="greaterThan">
      <formula>$BT$12</formula>
    </cfRule>
    <cfRule type="cellIs" dxfId="77" priority="81" stopIfTrue="1" operator="lessThan">
      <formula>$BT$12</formula>
    </cfRule>
  </conditionalFormatting>
  <conditionalFormatting sqref="U13">
    <cfRule type="cellIs" dxfId="76" priority="78" stopIfTrue="1" operator="greaterThan">
      <formula>$BT$13</formula>
    </cfRule>
    <cfRule type="cellIs" dxfId="75" priority="79" stopIfTrue="1" operator="lessThan">
      <formula>$BT$13</formula>
    </cfRule>
  </conditionalFormatting>
  <conditionalFormatting sqref="U16">
    <cfRule type="cellIs" dxfId="74" priority="66" stopIfTrue="1" operator="greaterThan">
      <formula>$BT$16</formula>
    </cfRule>
    <cfRule type="cellIs" dxfId="73" priority="67" stopIfTrue="1" operator="lessThan">
      <formula>$BT$16</formula>
    </cfRule>
  </conditionalFormatting>
  <conditionalFormatting sqref="U17">
    <cfRule type="cellIs" dxfId="72" priority="64" stopIfTrue="1" operator="greaterThan">
      <formula>$BT$17</formula>
    </cfRule>
    <cfRule type="cellIs" dxfId="71" priority="65" stopIfTrue="1" operator="lessThan">
      <formula>$BT$17</formula>
    </cfRule>
  </conditionalFormatting>
  <conditionalFormatting sqref="U18">
    <cfRule type="cellIs" dxfId="70" priority="62" stopIfTrue="1" operator="greaterThan">
      <formula>$BT$18</formula>
    </cfRule>
    <cfRule type="cellIs" dxfId="69" priority="63" stopIfTrue="1" operator="lessThan">
      <formula>$BT$18</formula>
    </cfRule>
  </conditionalFormatting>
  <conditionalFormatting sqref="U19">
    <cfRule type="cellIs" dxfId="68" priority="60" stopIfTrue="1" operator="greaterThan">
      <formula>$BT$19</formula>
    </cfRule>
    <cfRule type="cellIs" dxfId="67" priority="61" stopIfTrue="1" operator="lessThan">
      <formula>$BT$19</formula>
    </cfRule>
  </conditionalFormatting>
  <conditionalFormatting sqref="U20">
    <cfRule type="cellIs" dxfId="66" priority="58" stopIfTrue="1" operator="greaterThan">
      <formula>$BT$20</formula>
    </cfRule>
    <cfRule type="cellIs" dxfId="65" priority="59" stopIfTrue="1" operator="lessThan">
      <formula>$BT$20</formula>
    </cfRule>
  </conditionalFormatting>
  <conditionalFormatting sqref="U21:U22">
    <cfRule type="cellIs" dxfId="64" priority="56" stopIfTrue="1" operator="greaterThan">
      <formula>$BT$21</formula>
    </cfRule>
    <cfRule type="cellIs" dxfId="63" priority="57" stopIfTrue="1" operator="lessThan">
      <formula>$BT$21</formula>
    </cfRule>
  </conditionalFormatting>
  <conditionalFormatting sqref="U22">
    <cfRule type="cellIs" dxfId="62" priority="54" stopIfTrue="1" operator="greaterThan">
      <formula>$BT$22</formula>
    </cfRule>
    <cfRule type="cellIs" dxfId="61" priority="55" stopIfTrue="1" operator="lessThan">
      <formula>$BT$22</formula>
    </cfRule>
  </conditionalFormatting>
  <conditionalFormatting sqref="U25">
    <cfRule type="cellIs" dxfId="60" priority="32" stopIfTrue="1" operator="greaterThan">
      <formula>$BT$25</formula>
    </cfRule>
    <cfRule type="cellIs" dxfId="59" priority="33" stopIfTrue="1" operator="lessThan">
      <formula>$BT$25</formula>
    </cfRule>
  </conditionalFormatting>
  <conditionalFormatting sqref="U28">
    <cfRule type="cellIs" dxfId="58" priority="22" stopIfTrue="1" operator="greaterThan">
      <formula>$BT$28</formula>
    </cfRule>
    <cfRule type="cellIs" dxfId="57" priority="23" stopIfTrue="1" operator="lessThan">
      <formula>$BT$28</formula>
    </cfRule>
  </conditionalFormatting>
  <conditionalFormatting sqref="U29">
    <cfRule type="cellIs" dxfId="56" priority="20" stopIfTrue="1" operator="greaterThan">
      <formula>$BT$29</formula>
    </cfRule>
    <cfRule type="cellIs" dxfId="55" priority="21" stopIfTrue="1" operator="lessThan">
      <formula>$BT$29</formula>
    </cfRule>
  </conditionalFormatting>
  <conditionalFormatting sqref="AY15:AY22 AY9:AY13">
    <cfRule type="expression" dxfId="54" priority="4552" stopIfTrue="1">
      <formula>NOT(AND($AY9-ultimoDiaTrim&gt;=$AY$38,$AY9-ultimoDiaTrim&lt;=$AY$37))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519" customWidth="1"/>
    <col min="4" max="4" width="15" style="1519" customWidth="1"/>
    <col min="5" max="5" width="11.42578125" style="1529"/>
  </cols>
  <sheetData>
    <row r="1" spans="2:5" ht="83.25" customHeight="1"/>
    <row r="2" spans="2:5">
      <c r="B2" s="1520" t="s">
        <v>1142</v>
      </c>
    </row>
    <row r="3" spans="2:5" ht="16.5" customHeight="1" thickBot="1">
      <c r="B3" s="1521" t="s">
        <v>1143</v>
      </c>
      <c r="C3" s="1521" t="s">
        <v>1144</v>
      </c>
      <c r="D3" s="1521" t="s">
        <v>1145</v>
      </c>
      <c r="E3" s="1530" t="s">
        <v>1150</v>
      </c>
    </row>
  </sheetData>
  <sheetProtection algorithmName="SHA-512" hashValue="f4qZHY4XKFQusdQqThbxNcvyYyYAvm1nKp3Dzh6OGy7a7OJnvmoFPE9wRI6VmnXnb200Z/bWvEvxDJZfPLHd7w==" saltValue="x9VXBc7UKibiOmzxtU2k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39"/>
  <sheetViews>
    <sheetView zoomScale="85" zoomScaleNormal="85" workbookViewId="0">
      <selection activeCell="C11" sqref="C11"/>
    </sheetView>
  </sheetViews>
  <sheetFormatPr baseColWidth="10" defaultColWidth="11.42578125" defaultRowHeight="12.75"/>
  <cols>
    <col min="1" max="1" width="33.5703125" style="436" customWidth="1"/>
    <col min="2" max="2" width="9.42578125" style="436" customWidth="1"/>
    <col min="3" max="3" width="13.28515625" style="436" customWidth="1"/>
    <col min="4" max="4" width="13" style="436" hidden="1" customWidth="1"/>
    <col min="5" max="5" width="13.42578125" style="436" customWidth="1"/>
    <col min="6" max="6" width="10.7109375" style="436" customWidth="1"/>
    <col min="7" max="7" width="14.7109375" style="436" customWidth="1"/>
    <col min="8" max="8" width="10.7109375" style="436" customWidth="1"/>
    <col min="9" max="9" width="14.7109375" style="436" customWidth="1"/>
    <col min="10" max="10" width="10.85546875" style="436" customWidth="1"/>
    <col min="11" max="13" width="14.85546875" style="436" hidden="1" customWidth="1"/>
    <col min="14" max="14" width="14.140625" style="436" hidden="1" customWidth="1"/>
    <col min="15" max="16384" width="11.42578125" style="436"/>
  </cols>
  <sheetData>
    <row r="1" spans="1:14" ht="108" customHeight="1"/>
    <row r="2" spans="1:14">
      <c r="A2" s="437"/>
      <c r="B2" s="438" t="str">
        <f>Criterios!A9 &amp;"  "&amp;Criterios!B9</f>
        <v>Tribunales de Justicia  ANDALUCIA</v>
      </c>
      <c r="C2" s="437"/>
      <c r="D2" s="437"/>
      <c r="E2" s="437"/>
      <c r="F2" s="437"/>
    </row>
    <row r="3" spans="1:14" ht="19.5">
      <c r="A3" s="439" t="s">
        <v>162</v>
      </c>
      <c r="B3" s="440" t="str">
        <f>Criterios!A10 &amp;"  "&amp;Criterios!B10</f>
        <v>Provincias  MALAGA</v>
      </c>
      <c r="D3" s="437"/>
      <c r="E3" s="437"/>
      <c r="F3" s="437"/>
    </row>
    <row r="4" spans="1:14" ht="13.5" thickBot="1">
      <c r="A4" s="437"/>
      <c r="B4" s="440" t="str">
        <f>Criterios!A11 &amp;"  "&amp;Criterios!B11</f>
        <v>Resumenes por Partidos Judiciales  MALAGA</v>
      </c>
      <c r="C4" s="437"/>
      <c r="D4" s="437"/>
      <c r="E4" s="437"/>
      <c r="F4" s="437"/>
    </row>
    <row r="5" spans="1:14" ht="15.75" customHeight="1">
      <c r="A5" s="1553" t="str">
        <f>"Año:  " &amp;Criterios!B5 &amp; "     Trimestre   " &amp;Criterios!D5 &amp; " al " &amp;Criterios!D6</f>
        <v>Año:  2021     Trimestre   1 al 4</v>
      </c>
      <c r="B5" s="1084" t="s">
        <v>163</v>
      </c>
      <c r="C5" s="1555" t="s">
        <v>176</v>
      </c>
      <c r="D5" s="1556"/>
      <c r="E5" s="1555" t="s">
        <v>126</v>
      </c>
      <c r="F5" s="1556"/>
      <c r="G5" s="1555" t="s">
        <v>14</v>
      </c>
      <c r="H5" s="1556"/>
      <c r="I5" s="1555" t="s">
        <v>177</v>
      </c>
      <c r="J5" s="1556"/>
      <c r="K5" s="1562" t="s">
        <v>1016</v>
      </c>
      <c r="L5" s="1546" t="s">
        <v>1079</v>
      </c>
      <c r="M5" s="1546" t="s">
        <v>1014</v>
      </c>
      <c r="N5" s="1549" t="s">
        <v>1015</v>
      </c>
    </row>
    <row r="6" spans="1:14" ht="21.75" customHeight="1" thickBot="1">
      <c r="A6" s="1554"/>
      <c r="B6" s="1085"/>
      <c r="C6" s="1557"/>
      <c r="D6" s="1558"/>
      <c r="E6" s="1557"/>
      <c r="F6" s="1558"/>
      <c r="G6" s="1557"/>
      <c r="H6" s="1558"/>
      <c r="I6" s="1557"/>
      <c r="J6" s="1558"/>
      <c r="K6" s="1563"/>
      <c r="L6" s="1547"/>
      <c r="M6" s="1547"/>
      <c r="N6" s="1550"/>
    </row>
    <row r="7" spans="1:14" ht="38.25" customHeight="1" thickTop="1" thickBot="1">
      <c r="A7" s="441" t="s">
        <v>1009</v>
      </c>
      <c r="B7" s="442" t="s">
        <v>164</v>
      </c>
      <c r="C7" s="443" t="s">
        <v>10</v>
      </c>
      <c r="D7" s="444" t="s">
        <v>11</v>
      </c>
      <c r="E7" s="443" t="s">
        <v>10</v>
      </c>
      <c r="F7" s="444" t="s">
        <v>11</v>
      </c>
      <c r="G7" s="443" t="s">
        <v>10</v>
      </c>
      <c r="H7" s="444" t="s">
        <v>11</v>
      </c>
      <c r="I7" s="443" t="s">
        <v>10</v>
      </c>
      <c r="J7" s="444" t="s">
        <v>11</v>
      </c>
      <c r="K7" s="1564"/>
      <c r="L7" s="1548"/>
      <c r="M7" s="1548"/>
      <c r="N7" s="1551"/>
    </row>
    <row r="8" spans="1:14">
      <c r="A8" s="445" t="str">
        <f>Datos!A8</f>
        <v>Jurisdicción Civil ( 1 ):</v>
      </c>
      <c r="B8" s="446"/>
      <c r="C8" s="447"/>
      <c r="D8" s="448"/>
      <c r="E8" s="447"/>
      <c r="F8" s="448"/>
      <c r="G8" s="447"/>
      <c r="H8" s="448"/>
      <c r="I8" s="447"/>
      <c r="J8" s="448"/>
      <c r="K8" s="450"/>
      <c r="L8" s="1472"/>
      <c r="M8" s="450"/>
      <c r="N8" s="450"/>
    </row>
    <row r="9" spans="1:14">
      <c r="A9" s="451" t="str">
        <f>Datos!A9</f>
        <v xml:space="preserve">Jdos. 1ª Instancia   </v>
      </c>
      <c r="B9" s="452">
        <f>Datos!AO9</f>
        <v>17</v>
      </c>
      <c r="C9" s="452">
        <f>IF(ISNUMBER(IF(J_V="SI",Datos!I9,Datos!I9+Datos!Y9)),IF(J_V="SI",Datos!I9,Datos!I9+Datos!Y9)," - ")</f>
        <v>23171</v>
      </c>
      <c r="D9" s="453">
        <f>IF(ISNUMBER(C9/Datos!BH9),C9/Datos!BH9," - ")</f>
        <v>1363</v>
      </c>
      <c r="E9" s="452">
        <f>IF(ISNUMBER(IF(J_V="SI",Datos!J9,Datos!J9+Datos!Z9)),IF(J_V="SI",Datos!J9,Datos!J9+Datos!Z9)," - ")</f>
        <v>37740</v>
      </c>
      <c r="F9" s="453">
        <f>IF(ISNUMBER(E9/B9),E9/B9," - ")</f>
        <v>2220</v>
      </c>
      <c r="G9" s="452">
        <f>IF(ISNUMBER(IF(J_V="SI",Datos!K9,Datos!K9+Datos!AA9)),IF(J_V="SI",Datos!K9,Datos!K9+Datos!AA9)," - ")</f>
        <v>38630</v>
      </c>
      <c r="H9" s="453">
        <f>IF(ISNUMBER(G9/B9),G9/B9," - ")</f>
        <v>2272.3529411764707</v>
      </c>
      <c r="I9" s="452">
        <f>IF(ISNUMBER(IF(J_V="SI",Datos!L9,Datos!L9+Datos!AB9)),IF(J_V="SI",Datos!L9,Datos!L9+Datos!AB9)," - ")</f>
        <v>23929</v>
      </c>
      <c r="J9" s="453">
        <f>IF(ISNUMBER(I9/B9),I9/B9," - ")</f>
        <v>1407.5882352941176</v>
      </c>
      <c r="K9" s="454" t="str">
        <f>IF(ISNUMBER(Datos!EO9),Datos!EO9," - ")</f>
        <v xml:space="preserve"> - </v>
      </c>
      <c r="L9" s="1472" t="e">
        <f>K9*factor_trimestre/Datos!ER9</f>
        <v>#VALUE!</v>
      </c>
      <c r="M9" s="454" t="str">
        <f>IF(ISNUMBER(Datos!EP9),Datos!EP9," - ")</f>
        <v xml:space="preserve"> - </v>
      </c>
      <c r="N9" s="454" t="str">
        <f>IF(ISNUMBER(Datos!EQ9),Datos!EQ9," - ")</f>
        <v xml:space="preserve"> - </v>
      </c>
    </row>
    <row r="10" spans="1:14">
      <c r="A10" s="451" t="str">
        <f>Datos!A10</f>
        <v>Jdos. Violencia contra la mujer</v>
      </c>
      <c r="B10" s="452">
        <f>Datos!AO10</f>
        <v>3</v>
      </c>
      <c r="C10" s="452">
        <f>IF(ISNUMBER(Datos!I10),Datos!I10," - ")</f>
        <v>260</v>
      </c>
      <c r="D10" s="453">
        <f>IF(ISNUMBER(C10/Datos!BH10),C10/Datos!BH10," - ")</f>
        <v>86.666666666666671</v>
      </c>
      <c r="E10" s="452">
        <f>IF(ISNUMBER(Datos!J10),Datos!J10," - ")</f>
        <v>471</v>
      </c>
      <c r="F10" s="453">
        <f>IF(ISNUMBER(E10/B10),E10/B10," - ")</f>
        <v>157</v>
      </c>
      <c r="G10" s="452">
        <f>IF(ISNUMBER(Datos!K10),Datos!K10," - ")</f>
        <v>532</v>
      </c>
      <c r="H10" s="453">
        <f>IF(ISNUMBER(G10/B10),G10/B10," - ")</f>
        <v>177.33333333333334</v>
      </c>
      <c r="I10" s="452">
        <f>IF(ISNUMBER(Datos!L10),Datos!L10," - ")</f>
        <v>204</v>
      </c>
      <c r="J10" s="453">
        <f>IF(ISNUMBER(I10/B10),I10/B10," - ")</f>
        <v>68</v>
      </c>
      <c r="K10" s="454" t="str">
        <f>IF(ISNUMBER(Datos!EO10),Datos!EO10," - ")</f>
        <v xml:space="preserve"> - </v>
      </c>
      <c r="L10" s="1472" t="e">
        <f>K10*factor_trimestre/Datos!ER10</f>
        <v>#VALUE!</v>
      </c>
      <c r="M10" s="454" t="str">
        <f>IF(ISNUMBER(Datos!EP10),Datos!EP10," - ")</f>
        <v xml:space="preserve"> - </v>
      </c>
      <c r="N10" s="454" t="str">
        <f>IF(ISNUMBER(Datos!EQ10),Datos!EQ10," - ")</f>
        <v xml:space="preserve"> - </v>
      </c>
    </row>
    <row r="11" spans="1:14">
      <c r="A11" s="451" t="str">
        <f>Datos!A11</f>
        <v xml:space="preserve">Jdos. Familia                                   </v>
      </c>
      <c r="B11" s="452">
        <f>Datos!AO11</f>
        <v>4</v>
      </c>
      <c r="C11" s="452">
        <f>IF(ISNUMBER(IF(J_V="SI",Datos!I11,Datos!I11+Datos!Y11)),IF(J_V="SI",Datos!I11,Datos!I11+Datos!Y11)," - ")</f>
        <v>3152</v>
      </c>
      <c r="D11" s="453">
        <f>IF(ISNUMBER(C11/Datos!BH11),C11/Datos!BH11," - ")</f>
        <v>788</v>
      </c>
      <c r="E11" s="452">
        <f>IF(ISNUMBER(IF(J_V="SI",Datos!J11,Datos!J11+Datos!Z11)),IF(J_V="SI",Datos!J11,Datos!J11+Datos!Z11)," - ")</f>
        <v>5402</v>
      </c>
      <c r="F11" s="453">
        <f>IF(ISNUMBER(E11/B11),E11/B11," - ")</f>
        <v>1350.5</v>
      </c>
      <c r="G11" s="452">
        <f>IF(ISNUMBER(IF(J_V="SI",Datos!K11,Datos!K11+Datos!AA11)),IF(J_V="SI",Datos!K11,Datos!K11+Datos!AA11)," - ")</f>
        <v>6065</v>
      </c>
      <c r="H11" s="453">
        <f>IF(ISNUMBER(G11/B11),G11/B11," - ")</f>
        <v>1516.25</v>
      </c>
      <c r="I11" s="452">
        <f>IF(ISNUMBER(IF(J_V="SI",Datos!L11,Datos!L11+Datos!AB11)),IF(J_V="SI",Datos!L11,Datos!L11+Datos!AB11)," - ")</f>
        <v>2612</v>
      </c>
      <c r="J11" s="453">
        <f>IF(ISNUMBER(I11/B11),I11/B11," - ")</f>
        <v>653</v>
      </c>
      <c r="K11" s="454" t="str">
        <f>IF(ISNUMBER(Datos!EO11),Datos!EO11," - ")</f>
        <v xml:space="preserve"> - </v>
      </c>
      <c r="L11" s="1472" t="e">
        <f>K11*factor_trimestre/Datos!ER11</f>
        <v>#VALUE!</v>
      </c>
      <c r="M11" s="454" t="str">
        <f>IF(ISNUMBER(Datos!EP11),Datos!EP11," - ")</f>
        <v xml:space="preserve"> - </v>
      </c>
      <c r="N11" s="454" t="str">
        <f>IF(ISNUMBER(Datos!EQ11),Datos!EQ11," - ")</f>
        <v xml:space="preserve"> - </v>
      </c>
    </row>
    <row r="12" spans="1:14">
      <c r="A12" s="451" t="str">
        <f>Datos!A12</f>
        <v xml:space="preserve">Jdos. 1ª Instª. e Instr.                        </v>
      </c>
      <c r="B12" s="452">
        <f>Datos!AO12</f>
        <v>0</v>
      </c>
      <c r="C12" s="452" t="str">
        <f>IF(ISNUMBER(IF(J_V="SI",Datos!I12,Datos!I12+Datos!Y12)),IF(J_V="SI",Datos!I12,Datos!I12+Datos!Y12)," - ")</f>
        <v xml:space="preserve"> - </v>
      </c>
      <c r="D12" s="453" t="str">
        <f>IF(ISNUMBER(C12/Datos!BH12),C12/Datos!BH12," - ")</f>
        <v xml:space="preserve"> - </v>
      </c>
      <c r="E12" s="452" t="str">
        <f>IF(ISNUMBER(IF(J_V="SI",Datos!J12,Datos!J12+Datos!Z12)),IF(J_V="SI",Datos!J12,Datos!J12+Datos!Z12)," - ")</f>
        <v xml:space="preserve"> - </v>
      </c>
      <c r="F12" s="453" t="str">
        <f>IF(ISNUMBER(E12/B12),E12/B12," - ")</f>
        <v xml:space="preserve"> - </v>
      </c>
      <c r="G12" s="452" t="str">
        <f>IF(ISNUMBER(IF(J_V="SI",Datos!K12,Datos!K12+Datos!AA12)),IF(J_V="SI",Datos!K12,Datos!K12+Datos!AA12)," - ")</f>
        <v xml:space="preserve"> - </v>
      </c>
      <c r="H12" s="453" t="str">
        <f>IF(ISNUMBER(G12/B12),G12/B12," - ")</f>
        <v xml:space="preserve"> - </v>
      </c>
      <c r="I12" s="452" t="str">
        <f>IF(ISNUMBER(IF(J_V="SI",Datos!L12,Datos!L12+Datos!AB12)),IF(J_V="SI",Datos!L12,Datos!L12+Datos!AB12)," - ")</f>
        <v xml:space="preserve"> - </v>
      </c>
      <c r="J12" s="453" t="str">
        <f>IF(ISNUMBER(I12/B12),I12/B12," - ")</f>
        <v xml:space="preserve"> - </v>
      </c>
      <c r="K12" s="454" t="str">
        <f>IF(ISNUMBER(Datos!EO12),Datos!EO12," - ")</f>
        <v xml:space="preserve"> - </v>
      </c>
      <c r="L12" s="1472" t="e">
        <f>K12*factor_trimestre/Datos!ER12</f>
        <v>#VALUE!</v>
      </c>
      <c r="M12" s="454" t="str">
        <f>IF(ISNUMBER(Datos!EP12),Datos!EP12," - ")</f>
        <v xml:space="preserve"> - </v>
      </c>
      <c r="N12" s="454" t="str">
        <f>IF(ISNUMBER(Datos!EQ12),Datos!EQ12," - ")</f>
        <v xml:space="preserve"> - </v>
      </c>
    </row>
    <row r="13" spans="1:14" ht="13.5" thickBot="1">
      <c r="A13" s="451" t="str">
        <f>Datos!A13</f>
        <v xml:space="preserve">Jdos. de Menores    </v>
      </c>
      <c r="B13" s="452">
        <f>Datos!AO13</f>
        <v>0</v>
      </c>
      <c r="C13" s="452" t="str">
        <f>IF(ISNUMBER(Datos!I13),Datos!I13," - ")</f>
        <v xml:space="preserve"> - </v>
      </c>
      <c r="D13" s="453" t="str">
        <f>IF(ISNUMBER(C13/Datos!BH13),C13/Datos!BH13," - ")</f>
        <v xml:space="preserve"> - </v>
      </c>
      <c r="E13" s="452" t="str">
        <f>IF(ISNUMBER(Datos!J13),Datos!J13," - ")</f>
        <v xml:space="preserve"> - </v>
      </c>
      <c r="F13" s="453" t="str">
        <f>IF(ISNUMBER(E13/B13),E13/B13," - ")</f>
        <v xml:space="preserve"> - </v>
      </c>
      <c r="G13" s="452" t="str">
        <f>IF(ISNUMBER(Datos!K13),Datos!K13," - ")</f>
        <v xml:space="preserve"> - </v>
      </c>
      <c r="H13" s="453" t="str">
        <f>IF(ISNUMBER(G13/B13),G13/B13," - ")</f>
        <v xml:space="preserve"> - </v>
      </c>
      <c r="I13" s="452" t="str">
        <f>IF(ISNUMBER(Datos!L13),Datos!L13," - ")</f>
        <v xml:space="preserve"> - </v>
      </c>
      <c r="J13" s="453" t="str">
        <f>IF(ISNUMBER(I13/B13),I13/B13," - ")</f>
        <v xml:space="preserve"> - </v>
      </c>
      <c r="K13" s="454" t="str">
        <f>IF(ISNUMBER(Datos!EO13),Datos!EO13," - ")</f>
        <v xml:space="preserve"> - </v>
      </c>
      <c r="L13" s="1472" t="e">
        <f>K13*factor_trimestre/Datos!ER13</f>
        <v>#VALUE!</v>
      </c>
      <c r="M13" s="454" t="str">
        <f>IF(ISNUMBER(Datos!EP13),Datos!EP13," - ")</f>
        <v xml:space="preserve"> - </v>
      </c>
      <c r="N13" s="454" t="str">
        <f>IF(ISNUMBER(Datos!EQ13),Datos!EQ13," - ")</f>
        <v xml:space="preserve"> - </v>
      </c>
    </row>
    <row r="14" spans="1:14" ht="14.25" thickTop="1" thickBot="1">
      <c r="A14" s="1148" t="str">
        <f>Datos!A14</f>
        <v>TOTAL</v>
      </c>
      <c r="B14" s="1149">
        <f>Datos!AP14</f>
        <v>24</v>
      </c>
      <c r="C14" s="1149">
        <f>SUBTOTAL(9,C8:C13)</f>
        <v>26583</v>
      </c>
      <c r="D14" s="1150" t="str">
        <f>IF(ISNUMBER(C14/Datos!BI14),C14/Datos!BI14," - ")</f>
        <v xml:space="preserve"> - </v>
      </c>
      <c r="E14" s="1149">
        <f>SUBTOTAL(9,E8:E13)</f>
        <v>43613</v>
      </c>
      <c r="F14" s="1150">
        <f>IF(ISNUMBER(E14/B14),E14/B14," - ")</f>
        <v>1817.2083333333333</v>
      </c>
      <c r="G14" s="1149">
        <f>SUBTOTAL(9,G8:G13)</f>
        <v>45227</v>
      </c>
      <c r="H14" s="1150">
        <f>IF(ISNUMBER(G14/B14),G14/B14," - ")</f>
        <v>1884.4583333333333</v>
      </c>
      <c r="I14" s="1149">
        <f>SUBTOTAL(9,I8:I13)</f>
        <v>26745</v>
      </c>
      <c r="J14" s="1150">
        <f>IF(ISNUMBER(I14/B14),I14/B14," - ")</f>
        <v>1114.375</v>
      </c>
      <c r="K14" s="1148">
        <f t="shared" ref="K14" si="0">SUBTOTAL(9,K8:K13)</f>
        <v>0</v>
      </c>
      <c r="L14" s="1471"/>
      <c r="M14" s="1148">
        <f>SUBTOTAL(9,M8:M13)</f>
        <v>0</v>
      </c>
      <c r="N14" s="1148">
        <f>SUBTOTAL(9,N8:N13)</f>
        <v>0</v>
      </c>
    </row>
    <row r="15" spans="1:14" ht="13.5" thickTop="1">
      <c r="A15" s="445" t="str">
        <f>Datos!A15</f>
        <v xml:space="preserve">Jurisdicción Penal ( 2 ):                      </v>
      </c>
      <c r="B15" s="455"/>
      <c r="C15" s="455"/>
      <c r="D15" s="456"/>
      <c r="E15" s="455"/>
      <c r="F15" s="456"/>
      <c r="G15" s="455"/>
      <c r="H15" s="456"/>
      <c r="I15" s="455"/>
      <c r="J15" s="456"/>
      <c r="K15" s="455"/>
      <c r="L15" s="1472"/>
      <c r="M15" s="457"/>
      <c r="N15" s="458"/>
    </row>
    <row r="16" spans="1:14">
      <c r="A16" s="451" t="str">
        <f>Datos!A16</f>
        <v xml:space="preserve">Jdos. Instrucción                               </v>
      </c>
      <c r="B16" s="452">
        <f>Datos!AO16</f>
        <v>14</v>
      </c>
      <c r="C16" s="452">
        <f>IF(ISNUMBER(IF(D_I="SI",Datos!I16,Datos!I16+Datos!AC16)),IF(D_I="SI",Datos!I16,Datos!I16+Datos!AC16)," - ")</f>
        <v>5463</v>
      </c>
      <c r="D16" s="453">
        <f>IF(ISNUMBER(C16/Datos!BH16),C16/Datos!BH16," - ")</f>
        <v>390.21428571428572</v>
      </c>
      <c r="E16" s="452">
        <f>IF(ISNUMBER(IF(D_I="SI",Datos!J16,Datos!J16+Datos!AD16)),IF(D_I="SI",Datos!J16,Datos!J16+Datos!AD16)," - ")</f>
        <v>70176</v>
      </c>
      <c r="F16" s="453">
        <f>IF(ISNUMBER(E16/B16),E16/B16," - ")</f>
        <v>5012.5714285714284</v>
      </c>
      <c r="G16" s="452">
        <f>IF(ISNUMBER(IF(D_I="SI",Datos!K16,Datos!K16+Datos!AE16)),IF(D_I="SI",Datos!K16,Datos!K16+Datos!AE16)," - ")</f>
        <v>71221</v>
      </c>
      <c r="H16" s="453">
        <f>IF(ISNUMBER(G16/B16),G16/B16," - ")</f>
        <v>5087.2142857142853</v>
      </c>
      <c r="I16" s="452">
        <f>IF(ISNUMBER(IF(D_I="SI",Datos!L16,Datos!L16+Datos!AF16)),IF(D_I="SI",Datos!L16,Datos!L16+Datos!AF16)," - ")</f>
        <v>5067</v>
      </c>
      <c r="J16" s="453">
        <f>IF(ISNUMBER(I16/B16),I16/B16," - ")</f>
        <v>361.92857142857144</v>
      </c>
      <c r="K16" s="1469" t="str">
        <f>IF(ISNUMBER(Datos!EO16),Datos!EO16," - ")</f>
        <v xml:space="preserve"> - </v>
      </c>
      <c r="L16" s="1472" t="e">
        <f>K16*factor_trimestre/Datos!ER16</f>
        <v>#VALUE!</v>
      </c>
      <c r="M16" s="1470" t="str">
        <f>IF(ISNUMBER(Datos!EP16),Datos!EP16," - ")</f>
        <v xml:space="preserve"> - </v>
      </c>
      <c r="N16" s="454" t="str">
        <f>IF(ISNUMBER(Datos!EQ16),Datos!EQ16," - ")</f>
        <v xml:space="preserve"> - </v>
      </c>
    </row>
    <row r="17" spans="1:14">
      <c r="A17" s="451" t="str">
        <f>Datos!A17</f>
        <v xml:space="preserve">Jdos. 1ª Instª. e Instr.                        </v>
      </c>
      <c r="B17" s="452">
        <f>Datos!AO17</f>
        <v>0</v>
      </c>
      <c r="C17" s="452" t="str">
        <f>IF(ISNUMBER(IF(D_I="SI",Datos!I17,Datos!I17+Datos!AC17)),IF(D_I="SI",Datos!I17,Datos!I17+Datos!AC17)," - ")</f>
        <v xml:space="preserve"> - </v>
      </c>
      <c r="D17" s="453" t="str">
        <f>IF(ISNUMBER(C17/Datos!BH17),C17/Datos!BH17," - ")</f>
        <v xml:space="preserve"> - </v>
      </c>
      <c r="E17" s="452" t="str">
        <f>IF(ISNUMBER(IF(D_I="SI",Datos!J17,Datos!J17+Datos!AD17)),IF(D_I="SI",Datos!J17,Datos!J17+Datos!AD17)," - ")</f>
        <v xml:space="preserve"> - </v>
      </c>
      <c r="F17" s="453" t="str">
        <f>IF(ISNUMBER(E17/B17),E17/B17," - ")</f>
        <v xml:space="preserve"> - </v>
      </c>
      <c r="G17" s="452" t="str">
        <f>IF(ISNUMBER(IF(D_I="SI",Datos!K17,Datos!K17+Datos!AE17)),IF(D_I="SI",Datos!K17,Datos!K17+Datos!AE17)," - ")</f>
        <v xml:space="preserve"> - </v>
      </c>
      <c r="H17" s="453" t="str">
        <f>IF(ISNUMBER(G17/B17),G17/B17," - ")</f>
        <v xml:space="preserve"> - </v>
      </c>
      <c r="I17" s="452" t="str">
        <f>IF(ISNUMBER(IF(D_I="SI",Datos!L17,Datos!L17+Datos!AF17)),IF(D_I="SI",Datos!L17,Datos!L17+Datos!AF17)," - ")</f>
        <v xml:space="preserve"> - </v>
      </c>
      <c r="J17" s="453" t="str">
        <f>IF(ISNUMBER(I17/B17),I17/B17," - ")</f>
        <v xml:space="preserve"> - </v>
      </c>
      <c r="K17" s="1469" t="str">
        <f>IF(ISNUMBER(Datos!EO17),Datos!EO17," - ")</f>
        <v xml:space="preserve"> - </v>
      </c>
      <c r="L17" s="1472" t="e">
        <f>K17*factor_trimestre/Datos!ER17</f>
        <v>#VALUE!</v>
      </c>
      <c r="M17" s="1470" t="str">
        <f>IF(ISNUMBER(Datos!EP17),Datos!EP17," - ")</f>
        <v xml:space="preserve"> - </v>
      </c>
      <c r="N17" s="454" t="str">
        <f>IF(ISNUMBER(Datos!EQ17),Datos!EQ17," - ")</f>
        <v xml:space="preserve"> - </v>
      </c>
    </row>
    <row r="18" spans="1:14">
      <c r="A18" s="451" t="str">
        <f>Datos!A18</f>
        <v>Jdos. Violencia contra la mujer</v>
      </c>
      <c r="B18" s="452">
        <f>Datos!AO18</f>
        <v>3</v>
      </c>
      <c r="C18" s="452">
        <f>IF(ISNUMBER(IF(D_I="SI",Datos!I18,Datos!I18+Datos!AC18)),IF(D_I="SI",Datos!I18,Datos!I18+Datos!AC18)," - ")</f>
        <v>726</v>
      </c>
      <c r="D18" s="453">
        <f>IF(ISNUMBER(C18/Datos!BH18),C18/Datos!BH18," - ")</f>
        <v>242</v>
      </c>
      <c r="E18" s="452">
        <f>IF(ISNUMBER(IF(D_I="SI",Datos!J18,Datos!J18+Datos!AD18)),IF(D_I="SI",Datos!J18,Datos!J18+Datos!AD18)," - ")</f>
        <v>5037</v>
      </c>
      <c r="F18" s="453">
        <f>IF(ISNUMBER(E18/B18),E18/B18," - ")</f>
        <v>1679</v>
      </c>
      <c r="G18" s="452">
        <f>IF(ISNUMBER(IF(D_I="SI",Datos!K18,Datos!K18+Datos!AE18)),IF(D_I="SI",Datos!K18,Datos!K18+Datos!AE18)," - ")</f>
        <v>5190</v>
      </c>
      <c r="H18" s="453">
        <f>IF(ISNUMBER(G18/B18),G18/B18," - ")</f>
        <v>1730</v>
      </c>
      <c r="I18" s="452">
        <f>IF(ISNUMBER(IF(D_I="SI",Datos!L18,Datos!L18+Datos!AF18)),IF(D_I="SI",Datos!L18,Datos!L18+Datos!AF18)," - ")</f>
        <v>632</v>
      </c>
      <c r="J18" s="453">
        <f>IF(ISNUMBER(I18/B18),I18/B18," - ")</f>
        <v>210.66666666666666</v>
      </c>
      <c r="K18" s="1469" t="str">
        <f>IF(ISNUMBER(Datos!EO18),Datos!EO18," - ")</f>
        <v xml:space="preserve"> - </v>
      </c>
      <c r="L18" s="1472" t="e">
        <f>K18*factor_trimestre/Datos!ER18</f>
        <v>#VALUE!</v>
      </c>
      <c r="M18" s="1470" t="str">
        <f>IF(ISNUMBER(Datos!EP18),Datos!EP18," - ")</f>
        <v xml:space="preserve"> - </v>
      </c>
      <c r="N18" s="454" t="str">
        <f>IF(ISNUMBER(Datos!EQ18),Datos!EQ18," - ")</f>
        <v xml:space="preserve"> - </v>
      </c>
    </row>
    <row r="19" spans="1:14">
      <c r="A19" s="451" t="str">
        <f>Datos!A19</f>
        <v xml:space="preserve">Jdos. de Menores                                </v>
      </c>
      <c r="B19" s="452">
        <f>Datos!AO19</f>
        <v>0</v>
      </c>
      <c r="C19" s="452" t="str">
        <f>IF(ISNUMBER(Datos!I19),Datos!I19," - ")</f>
        <v xml:space="preserve"> - </v>
      </c>
      <c r="D19" s="453" t="str">
        <f>IF(ISNUMBER(C19/Datos!BH19),C19/Datos!BH19," - ")</f>
        <v xml:space="preserve"> - </v>
      </c>
      <c r="E19" s="452" t="str">
        <f>IF(ISNUMBER(Datos!J19),Datos!J19," - ")</f>
        <v xml:space="preserve"> - </v>
      </c>
      <c r="F19" s="453" t="str">
        <f>IF(ISNUMBER(E19/B19),E19/B19," - ")</f>
        <v xml:space="preserve"> - </v>
      </c>
      <c r="G19" s="452" t="str">
        <f>IF(ISNUMBER(Datos!K19),Datos!K19," - ")</f>
        <v xml:space="preserve"> - </v>
      </c>
      <c r="H19" s="453" t="str">
        <f>IF(ISNUMBER(G19/B19),G19/B19," - ")</f>
        <v xml:space="preserve"> - </v>
      </c>
      <c r="I19" s="452" t="str">
        <f>IF(ISNUMBER(Datos!L19),Datos!L19," - ")</f>
        <v xml:space="preserve"> - </v>
      </c>
      <c r="J19" s="453" t="str">
        <f>IF(ISNUMBER(I19/B19),I19/B19," - ")</f>
        <v xml:space="preserve"> - </v>
      </c>
      <c r="K19" s="1469" t="str">
        <f>IF(ISNUMBER(Datos!EO19),Datos!EO19," - ")</f>
        <v xml:space="preserve"> - </v>
      </c>
      <c r="L19" s="1472" t="e">
        <f>K19*factor_trimestre/Datos!ER19</f>
        <v>#VALUE!</v>
      </c>
      <c r="M19" s="1470" t="str">
        <f>IF(ISNUMBER(Datos!EP19),Datos!EP19," - ")</f>
        <v xml:space="preserve"> - </v>
      </c>
      <c r="N19" s="454" t="str">
        <f>IF(ISNUMBER(Datos!EQ19),Datos!EQ19," - ")</f>
        <v xml:space="preserve"> - </v>
      </c>
    </row>
    <row r="20" spans="1:14">
      <c r="A20" s="451" t="str">
        <f>Datos!A20</f>
        <v xml:space="preserve">Jdos. Vigilancia Penitenciaria                  </v>
      </c>
      <c r="B20" s="452">
        <f>Datos!AO20</f>
        <v>0</v>
      </c>
      <c r="C20" s="452" t="str">
        <f>IF(ISNUMBER(Datos!I20),Datos!I20," - ")</f>
        <v xml:space="preserve"> - </v>
      </c>
      <c r="D20" s="453" t="str">
        <f>IF(ISNUMBER(C20/Datos!BH20),C20/Datos!BH20," - ")</f>
        <v xml:space="preserve"> - </v>
      </c>
      <c r="E20" s="452" t="str">
        <f>IF(ISNUMBER(Datos!J20),Datos!J20," - ")</f>
        <v xml:space="preserve"> - </v>
      </c>
      <c r="F20" s="453" t="str">
        <f>IF(ISNUMBER(E20/B20),E20/B20," - ")</f>
        <v xml:space="preserve"> - </v>
      </c>
      <c r="G20" s="452" t="str">
        <f>IF(ISNUMBER(Datos!K20),Datos!K20," - ")</f>
        <v xml:space="preserve"> - </v>
      </c>
      <c r="H20" s="453" t="str">
        <f>IF(ISNUMBER(G20/B20),G20/B20," - ")</f>
        <v xml:space="preserve"> - </v>
      </c>
      <c r="I20" s="452" t="str">
        <f>IF(ISNUMBER(Datos!L20),Datos!L20," - ")</f>
        <v xml:space="preserve"> - </v>
      </c>
      <c r="J20" s="453" t="str">
        <f>IF(ISNUMBER(I20/B20),I20/B20," - ")</f>
        <v xml:space="preserve"> - </v>
      </c>
      <c r="K20" s="1469" t="str">
        <f>IF(ISNUMBER(Datos!EO20),Datos!EO20," - ")</f>
        <v xml:space="preserve"> - </v>
      </c>
      <c r="L20" s="1472" t="e">
        <f>K20*factor_trimestre/Datos!ER20</f>
        <v>#VALUE!</v>
      </c>
      <c r="M20" s="1470" t="str">
        <f>IF(ISNUMBER(Datos!EP20),Datos!EP20," - ")</f>
        <v xml:space="preserve"> - </v>
      </c>
      <c r="N20" s="454" t="str">
        <f>IF(ISNUMBER(Datos!EQ20),Datos!EQ20," - ")</f>
        <v xml:space="preserve"> - </v>
      </c>
    </row>
    <row r="21" spans="1:14">
      <c r="A21" s="451" t="str">
        <f>Datos!A21</f>
        <v xml:space="preserve">Jdos. de lo Penal                               </v>
      </c>
      <c r="B21" s="452">
        <f>Datos!AO21</f>
        <v>0</v>
      </c>
      <c r="C21" s="452" t="str">
        <f>IF(ISNUMBER(Datos!I21),Datos!I21," - ")</f>
        <v xml:space="preserve"> - </v>
      </c>
      <c r="D21" s="453" t="str">
        <f>IF(ISNUMBER(C21/Datos!BH21),C21/Datos!BH21," - ")</f>
        <v xml:space="preserve"> - </v>
      </c>
      <c r="E21" s="452" t="str">
        <f>IF(ISNUMBER(Datos!J21),Datos!J21," - ")</f>
        <v xml:space="preserve"> - </v>
      </c>
      <c r="F21" s="453" t="str">
        <f>IF(ISNUMBER(E21/B21),E21/B21," - ")</f>
        <v xml:space="preserve"> - </v>
      </c>
      <c r="G21" s="452" t="str">
        <f>IF(ISNUMBER(Datos!K21),Datos!K21," - ")</f>
        <v xml:space="preserve"> - </v>
      </c>
      <c r="H21" s="453" t="str">
        <f>IF(ISNUMBER(G21/B21),G21/B21," - ")</f>
        <v xml:space="preserve"> - </v>
      </c>
      <c r="I21" s="452" t="str">
        <f>IF(ISNUMBER(Datos!L21),Datos!L21," - ")</f>
        <v xml:space="preserve"> - </v>
      </c>
      <c r="J21" s="453" t="str">
        <f>IF(ISNUMBER(I21/B21),I21/B21," - ")</f>
        <v xml:space="preserve"> - </v>
      </c>
      <c r="K21" s="1469" t="str">
        <f>IF(ISNUMBER(Datos!EO21),Datos!EO21," - ")</f>
        <v xml:space="preserve"> - </v>
      </c>
      <c r="L21" s="1472" t="e">
        <f>K21*factor_trimestre/Datos!ER21</f>
        <v>#VALUE!</v>
      </c>
      <c r="M21" s="1470" t="str">
        <f>IF(ISNUMBER(Datos!EP21),Datos!EP21," - ")</f>
        <v xml:space="preserve"> - </v>
      </c>
      <c r="N21" s="454" t="str">
        <f>IF(ISNUMBER(Datos!EQ21),Datos!EQ21," - ")</f>
        <v xml:space="preserve"> - </v>
      </c>
    </row>
    <row r="22" spans="1:14" ht="13.5" thickBot="1">
      <c r="A22" s="451" t="str">
        <f>Datos!A22</f>
        <v xml:space="preserve">Jdos. de lo Penal de Ejecutorias                </v>
      </c>
      <c r="B22" s="452">
        <f>Datos!AO22</f>
        <v>0</v>
      </c>
      <c r="C22" s="452" t="str">
        <f>IF(ISNUMBER(Datos!I22),Datos!I22," - ")</f>
        <v xml:space="preserve"> - </v>
      </c>
      <c r="D22" s="453" t="str">
        <f>IF(ISNUMBER(C22/Datos!BH22),C22/Datos!BH22," - ")</f>
        <v xml:space="preserve"> - </v>
      </c>
      <c r="E22" s="452" t="str">
        <f>IF(ISNUMBER(Datos!J22),Datos!J22," - ")</f>
        <v xml:space="preserve"> - </v>
      </c>
      <c r="F22" s="453" t="str">
        <f>IF(ISNUMBER(E22/B22),E22/B22," - ")</f>
        <v xml:space="preserve"> - </v>
      </c>
      <c r="G22" s="452" t="str">
        <f>IF(ISNUMBER(Datos!K22),Datos!K22," - ")</f>
        <v xml:space="preserve"> - </v>
      </c>
      <c r="H22" s="453" t="str">
        <f>IF(ISNUMBER(G22/B22),G22/B22," - ")</f>
        <v xml:space="preserve"> - </v>
      </c>
      <c r="I22" s="452" t="str">
        <f>IF(ISNUMBER(Datos!L22),Datos!L22," - ")</f>
        <v xml:space="preserve"> - </v>
      </c>
      <c r="J22" s="453" t="str">
        <f>IF(ISNUMBER(I22/B22),I22/B22," - ")</f>
        <v xml:space="preserve"> - </v>
      </c>
      <c r="K22" s="1469" t="str">
        <f>IF(ISNUMBER(Datos!EO22),Datos!EO22," - ")</f>
        <v xml:space="preserve"> - </v>
      </c>
      <c r="L22" s="1472" t="e">
        <f>K22*factor_trimestre/Datos!ER22</f>
        <v>#VALUE!</v>
      </c>
      <c r="M22" s="1470" t="str">
        <f>IF(ISNUMBER(Datos!EP22),Datos!EP22," - ")</f>
        <v xml:space="preserve"> - </v>
      </c>
      <c r="N22" s="454" t="str">
        <f>IF(ISNUMBER(Datos!EQ22),Datos!EQ22," - ")</f>
        <v xml:space="preserve"> - </v>
      </c>
    </row>
    <row r="23" spans="1:14" ht="14.25" thickTop="1" thickBot="1">
      <c r="A23" s="1148" t="str">
        <f>Datos!A23</f>
        <v>TOTAL</v>
      </c>
      <c r="B23" s="1149">
        <f>Datos!AP23</f>
        <v>17</v>
      </c>
      <c r="C23" s="1149">
        <f>SUBTOTAL(9,C15:C22)</f>
        <v>6189</v>
      </c>
      <c r="D23" s="1150" t="str">
        <f>IF(ISNUMBER(C23/Datos!BI23),C23/Datos!BI23," - ")</f>
        <v xml:space="preserve"> - </v>
      </c>
      <c r="E23" s="1149">
        <f>SUBTOTAL(9,E15:E22)</f>
        <v>75213</v>
      </c>
      <c r="F23" s="1150">
        <f>IF(ISNUMBER(E23/B23),E23/B23," - ")</f>
        <v>4424.2941176470586</v>
      </c>
      <c r="G23" s="1149">
        <f>SUBTOTAL(9,G15:G22)</f>
        <v>76411</v>
      </c>
      <c r="H23" s="1150">
        <f>IF(ISNUMBER(G23/B23),G23/B23," - ")</f>
        <v>4494.7647058823532</v>
      </c>
      <c r="I23" s="1149">
        <f>SUBTOTAL(9,I15:I22)</f>
        <v>5699</v>
      </c>
      <c r="J23" s="1150">
        <f>IF(ISNUMBER(I23/B23),I23/B23," - ")</f>
        <v>335.23529411764707</v>
      </c>
      <c r="K23" s="1148">
        <f t="shared" ref="K23" si="1">SUBTOTAL(9,K15:K22)</f>
        <v>0</v>
      </c>
      <c r="L23" s="1148"/>
      <c r="M23" s="1148">
        <f>SUBTOTAL(9,M15:M22)</f>
        <v>0</v>
      </c>
      <c r="N23" s="1148">
        <f>SUBTOTAL(9,N15:N22)</f>
        <v>0</v>
      </c>
    </row>
    <row r="24" spans="1:14" ht="13.5" thickTop="1">
      <c r="A24" s="445" t="str">
        <f>Datos!A24</f>
        <v xml:space="preserve">Jurisdicción Cont.-Admva.:                      </v>
      </c>
      <c r="B24" s="455"/>
      <c r="C24" s="455"/>
      <c r="D24" s="456"/>
      <c r="E24" s="455"/>
      <c r="F24" s="456"/>
      <c r="G24" s="455"/>
      <c r="H24" s="456"/>
      <c r="I24" s="455"/>
      <c r="J24" s="456"/>
      <c r="K24" s="458"/>
      <c r="L24" s="1472"/>
      <c r="M24" s="458"/>
      <c r="N24" s="458"/>
    </row>
    <row r="25" spans="1:14" ht="13.5" thickBot="1">
      <c r="A25" s="451" t="str">
        <f>Datos!A25</f>
        <v xml:space="preserve">Jdos Cont.-Admvo.                               </v>
      </c>
      <c r="B25" s="452">
        <f>Datos!AO25</f>
        <v>0</v>
      </c>
      <c r="C25" s="452" t="str">
        <f>IF(ISNUMBER(Datos!I25),Datos!I25," - ")</f>
        <v xml:space="preserve"> - </v>
      </c>
      <c r="D25" s="453" t="str">
        <f>IF(ISNUMBER(C25/Datos!BH25),C25/Datos!BH25," - ")</f>
        <v xml:space="preserve"> - </v>
      </c>
      <c r="E25" s="452" t="str">
        <f>IF(ISNUMBER(Datos!J25),Datos!J25," - ")</f>
        <v xml:space="preserve"> - </v>
      </c>
      <c r="F25" s="453" t="str">
        <f>IF(ISNUMBER(E25/B25),E25/B25," - ")</f>
        <v xml:space="preserve"> - </v>
      </c>
      <c r="G25" s="452" t="str">
        <f>IF(ISNUMBER(Datos!K25),Datos!K25," - ")</f>
        <v xml:space="preserve"> - </v>
      </c>
      <c r="H25" s="453" t="str">
        <f>IF(ISNUMBER(G25/B25),G25/B25," - ")</f>
        <v xml:space="preserve"> - </v>
      </c>
      <c r="I25" s="452" t="str">
        <f>IF(ISNUMBER(Datos!L25),Datos!L25," - ")</f>
        <v xml:space="preserve"> - </v>
      </c>
      <c r="J25" s="453" t="str">
        <f>IF(ISNUMBER(I25/B25),I25/B25," - ")</f>
        <v xml:space="preserve"> - </v>
      </c>
      <c r="K25" s="454" t="str">
        <f>IF(ISNUMBER(Datos!EO25),Datos!EO25," - ")</f>
        <v xml:space="preserve"> - </v>
      </c>
      <c r="L25" s="1472" t="e">
        <f>K25*factor_trimestre/Datos!ER25</f>
        <v>#VALUE!</v>
      </c>
      <c r="M25" s="454" t="str">
        <f>IF(ISNUMBER(Datos!EP25),Datos!EP25," - ")</f>
        <v xml:space="preserve"> - </v>
      </c>
      <c r="N25" s="454" t="str">
        <f>IF(ISNUMBER(Datos!EQ25),Datos!EQ25," - ")</f>
        <v xml:space="preserve"> - </v>
      </c>
    </row>
    <row r="26" spans="1:14" ht="14.25" thickTop="1" thickBot="1">
      <c r="A26" s="1148" t="str">
        <f>Datos!A26</f>
        <v>TOTAL</v>
      </c>
      <c r="B26" s="1149">
        <f>Datos!AP26</f>
        <v>0</v>
      </c>
      <c r="C26" s="1149">
        <f>SUBTOTAL(9,C25:C25)</f>
        <v>0</v>
      </c>
      <c r="D26" s="1150" t="str">
        <f>IF(ISNUMBER(C26/Datos!BI26),C26/Datos!BI26," - ")</f>
        <v xml:space="preserve"> - </v>
      </c>
      <c r="E26" s="1149">
        <f>SUBTOTAL(9,E25:E25)</f>
        <v>0</v>
      </c>
      <c r="F26" s="1150" t="str">
        <f>IF(ISNUMBER(E26/B26),E26/B26," - ")</f>
        <v xml:space="preserve"> - </v>
      </c>
      <c r="G26" s="1149">
        <f>SUBTOTAL(9,G25:G25)</f>
        <v>0</v>
      </c>
      <c r="H26" s="1150" t="str">
        <f>IF(ISNUMBER(G26/B26),G26/B26," - ")</f>
        <v xml:space="preserve"> - </v>
      </c>
      <c r="I26" s="1149">
        <f>SUBTOTAL(9,I25:I25)</f>
        <v>0</v>
      </c>
      <c r="J26" s="1150" t="str">
        <f>IF(ISNUMBER(I26/B26),I26/B26," - ")</f>
        <v xml:space="preserve"> - </v>
      </c>
      <c r="K26" s="1148">
        <f t="shared" ref="K26" si="2">SUBTOTAL(9,K25:K25)</f>
        <v>0</v>
      </c>
      <c r="L26" s="1148"/>
      <c r="M26" s="1148">
        <f>SUBTOTAL(9,M25:M25)</f>
        <v>0</v>
      </c>
      <c r="N26" s="1148">
        <f>SUBTOTAL(9,N25:N25)</f>
        <v>0</v>
      </c>
    </row>
    <row r="27" spans="1:14" ht="13.5" thickTop="1">
      <c r="A27" s="445" t="str">
        <f>Datos!A27</f>
        <v xml:space="preserve">Jurisdicción Social:                            </v>
      </c>
      <c r="B27" s="455"/>
      <c r="C27" s="455"/>
      <c r="D27" s="456"/>
      <c r="E27" s="455"/>
      <c r="F27" s="456"/>
      <c r="G27" s="455"/>
      <c r="H27" s="456"/>
      <c r="I27" s="455"/>
      <c r="J27" s="456"/>
      <c r="K27" s="458"/>
      <c r="L27" s="1472"/>
      <c r="M27" s="458"/>
      <c r="N27" s="458"/>
    </row>
    <row r="28" spans="1:14">
      <c r="A28" s="451" t="str">
        <f>Datos!A28</f>
        <v xml:space="preserve">Jdos. de lo Social                              </v>
      </c>
      <c r="B28" s="452">
        <f>Datos!AO28</f>
        <v>0</v>
      </c>
      <c r="C28" s="452" t="str">
        <f>IF(ISNUMBER(Datos!I28),Datos!I28," - ")</f>
        <v xml:space="preserve"> - </v>
      </c>
      <c r="D28" s="453" t="str">
        <f>IF(ISNUMBER(C28/Datos!BH28),C28/Datos!BH28," - ")</f>
        <v xml:space="preserve"> - </v>
      </c>
      <c r="E28" s="452" t="str">
        <f>IF(ISNUMBER(Datos!J28),Datos!J28," - ")</f>
        <v xml:space="preserve"> - </v>
      </c>
      <c r="F28" s="453" t="str">
        <f>IF(ISNUMBER(E28/B28),E28/B28," - ")</f>
        <v xml:space="preserve"> - </v>
      </c>
      <c r="G28" s="452" t="str">
        <f>IF(ISNUMBER(Datos!K28),Datos!K28," - ")</f>
        <v xml:space="preserve"> - </v>
      </c>
      <c r="H28" s="453" t="str">
        <f>IF(ISNUMBER(G28/B28),G28/B28," - ")</f>
        <v xml:space="preserve"> - </v>
      </c>
      <c r="I28" s="452" t="str">
        <f>IF(ISNUMBER(Datos!L28),Datos!L28," - ")</f>
        <v xml:space="preserve"> - </v>
      </c>
      <c r="J28" s="453" t="str">
        <f>IF(ISNUMBER(I28/B28),I28/B28," - ")</f>
        <v xml:space="preserve"> - </v>
      </c>
      <c r="K28" s="454" t="str">
        <f>IF(ISNUMBER(Datos!EO28),Datos!EO28," - ")</f>
        <v xml:space="preserve"> - </v>
      </c>
      <c r="L28" s="1472" t="e">
        <f>K28*factor_trimestre/Datos!ER28</f>
        <v>#VALUE!</v>
      </c>
      <c r="M28" s="454" t="str">
        <f>IF(ISNUMBER(Datos!EP28),Datos!EP28," - ")</f>
        <v xml:space="preserve"> - </v>
      </c>
      <c r="N28" s="454" t="str">
        <f>IF(ISNUMBER(Datos!EQ28),Datos!EQ28," - ")</f>
        <v xml:space="preserve"> - </v>
      </c>
    </row>
    <row r="29" spans="1:14" ht="13.5" thickBot="1">
      <c r="A29" s="451" t="str">
        <f>Datos!A29</f>
        <v>Jdos. De lo Social de Ejecuciones</v>
      </c>
      <c r="B29" s="452">
        <f>Datos!AO29</f>
        <v>0</v>
      </c>
      <c r="C29" s="452" t="str">
        <f>IF(ISNUMBER(Datos!I29),Datos!I29," - ")</f>
        <v xml:space="preserve"> - </v>
      </c>
      <c r="D29" s="453" t="str">
        <f>IF(ISNUMBER(C29/Datos!BH29),C29/Datos!BH29," - ")</f>
        <v xml:space="preserve"> - </v>
      </c>
      <c r="E29" s="452" t="str">
        <f>IF(ISNUMBER(Datos!J29),Datos!J29," - ")</f>
        <v xml:space="preserve"> - </v>
      </c>
      <c r="F29" s="453" t="str">
        <f>IF(ISNUMBER(E29/B29),E29/B29," - ")</f>
        <v xml:space="preserve"> - </v>
      </c>
      <c r="G29" s="452" t="str">
        <f>IF(ISNUMBER(Datos!K29),Datos!K29," - ")</f>
        <v xml:space="preserve"> - </v>
      </c>
      <c r="H29" s="453" t="str">
        <f>IF(ISNUMBER(G29/B29),G29/B29," - ")</f>
        <v xml:space="preserve"> - </v>
      </c>
      <c r="I29" s="452" t="str">
        <f>IF(ISNUMBER(Datos!L29),Datos!L29," - ")</f>
        <v xml:space="preserve"> - </v>
      </c>
      <c r="J29" s="453" t="str">
        <f>IF(ISNUMBER(I29/B29),I29/B29," - ")</f>
        <v xml:space="preserve"> - </v>
      </c>
      <c r="K29" s="454" t="str">
        <f>IF(ISNUMBER(Datos!EO29),Datos!EO29," - ")</f>
        <v xml:space="preserve"> - </v>
      </c>
      <c r="L29" s="1472" t="e">
        <f>K29*factor_trimestre/Datos!ER29</f>
        <v>#VALUE!</v>
      </c>
      <c r="M29" s="454" t="str">
        <f>IF(ISNUMBER(Datos!EP29),Datos!EP29," - ")</f>
        <v xml:space="preserve"> - </v>
      </c>
      <c r="N29" s="454" t="str">
        <f>IF(ISNUMBER(Datos!EQ29),Datos!EQ29," - ")</f>
        <v xml:space="preserve"> - </v>
      </c>
    </row>
    <row r="30" spans="1:14" ht="14.25" thickTop="1" thickBot="1">
      <c r="A30" s="1148" t="str">
        <f>Datos!A30</f>
        <v>TOTAL</v>
      </c>
      <c r="B30" s="1149">
        <f>Datos!AP30</f>
        <v>0</v>
      </c>
      <c r="C30" s="1149">
        <f>SUBTOTAL(9,C28:C29)</f>
        <v>0</v>
      </c>
      <c r="D30" s="1150" t="str">
        <f>IF(ISNUMBER(C30/Datos!BI30),C30/Datos!BI30," - ")</f>
        <v xml:space="preserve"> - </v>
      </c>
      <c r="E30" s="1149">
        <f>SUBTOTAL(9,E28:E29)</f>
        <v>0</v>
      </c>
      <c r="F30" s="1150" t="str">
        <f>IF(ISNUMBER(E30/B30),E30/B30," - ")</f>
        <v xml:space="preserve"> - </v>
      </c>
      <c r="G30" s="1149">
        <f>SUBTOTAL(9,G28:G29)</f>
        <v>0</v>
      </c>
      <c r="H30" s="1150" t="str">
        <f>IF(ISNUMBER(G30/B30),G30/B30," - ")</f>
        <v xml:space="preserve"> - </v>
      </c>
      <c r="I30" s="1149">
        <f>SUBTOTAL(9,I28:I29)</f>
        <v>0</v>
      </c>
      <c r="J30" s="1150" t="str">
        <f>IF(ISNUMBER(I30/B30),I30/B30," - ")</f>
        <v xml:space="preserve"> - </v>
      </c>
      <c r="K30" s="1148">
        <f t="shared" ref="K30" si="3">SUBTOTAL(9,K28:K29)</f>
        <v>0</v>
      </c>
      <c r="L30" s="1148"/>
      <c r="M30" s="1148">
        <f>SUBTOTAL(9,M28:M29)</f>
        <v>0</v>
      </c>
      <c r="N30" s="1148">
        <f>SUBTOTAL(9,N28:N29)</f>
        <v>0</v>
      </c>
    </row>
    <row r="31" spans="1:14" ht="16.5" customHeight="1" thickTop="1" thickBot="1">
      <c r="A31" s="1086" t="str">
        <f>Datos!A31</f>
        <v>TOTAL JURISDICCIONES</v>
      </c>
      <c r="B31" s="1087">
        <f>Datos!AP31</f>
        <v>38</v>
      </c>
      <c r="C31" s="1087">
        <f>SUBTOTAL(9,C9:C30)</f>
        <v>32772</v>
      </c>
      <c r="D31" s="1088" t="str">
        <f>IF(ISNUMBER(C31/Datos!BI31),C31/Datos!BI31," - ")</f>
        <v xml:space="preserve"> - </v>
      </c>
      <c r="E31" s="1087">
        <f>SUBTOTAL(9,E9:E30)</f>
        <v>118826</v>
      </c>
      <c r="F31" s="1088">
        <f>IF(ISNUMBER(E31/B31),E31/B31," - ")</f>
        <v>3127</v>
      </c>
      <c r="G31" s="1087">
        <f>SUBTOTAL(9,G9:G30)</f>
        <v>121638</v>
      </c>
      <c r="H31" s="1088">
        <f>IF(ISNUMBER(G31/B31),G31/B31," - ")</f>
        <v>3201</v>
      </c>
      <c r="I31" s="1087">
        <f>SUBTOTAL(9,I9:I30)</f>
        <v>32444</v>
      </c>
      <c r="J31" s="1088">
        <f>IF(ISNUMBER(I31/B31),I31/B31," - ")</f>
        <v>853.78947368421052</v>
      </c>
      <c r="K31" s="1089">
        <f t="shared" ref="K31" si="4">SUBTOTAL(9,K9:K30)</f>
        <v>0</v>
      </c>
      <c r="L31" s="1089"/>
      <c r="M31" s="1089">
        <f>SUBTOTAL(9,M9:M30)</f>
        <v>0</v>
      </c>
      <c r="N31" s="1089">
        <f>SUBTOTAL(9,N9:N30)</f>
        <v>0</v>
      </c>
    </row>
    <row r="32" spans="1:14">
      <c r="A32" s="460" t="str">
        <f>IF(J_V="NO","(1) Incluida Jurisdicción Voluntaria","(1) Excluída Jurisdicción Voluntaria")</f>
        <v>(1) Incluida Jurisdicción Voluntaria</v>
      </c>
      <c r="B32" s="461"/>
    </row>
    <row r="33" spans="1:2">
      <c r="A33" s="460" t="str">
        <f>IF(D_I="NO","(2) Incluídas Diligencias Indeterminadas","(2) Excluídas Diligencias Indeterminadas")</f>
        <v>(2) Excluídas Diligencias Indeterminadas</v>
      </c>
      <c r="B33" s="460"/>
    </row>
    <row r="34" spans="1:2">
      <c r="A34" s="1552"/>
      <c r="B34" s="1552"/>
    </row>
    <row r="35" spans="1:2">
      <c r="A35" s="440" t="str">
        <f>Criterios!A4</f>
        <v>Fecha Informe: 05 abr. 2022</v>
      </c>
    </row>
    <row r="39" spans="1:2">
      <c r="A39" s="463"/>
    </row>
  </sheetData>
  <sheetProtection algorithmName="SHA-512" hashValue="0b7fBCT4Q+b+J0Sr3O9OhujanPwQ+UDziLDSEcD9O2orSVJYp1zdHwEEjvfXBuCKEpnCXSCgDGk47tZOg7EPJQ==" saltValue="gor8IJAxJ00IyKvz0Ie69Q==" spinCount="100000" sheet="1" objects="1" scenarios="1"/>
  <mergeCells count="10">
    <mergeCell ref="M5:M7"/>
    <mergeCell ref="N5:N7"/>
    <mergeCell ref="A34:B3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L44"/>
  <sheetViews>
    <sheetView topLeftCell="C1" zoomScale="82" zoomScaleNormal="82" workbookViewId="0">
      <selection activeCell="C14" sqref="C14"/>
    </sheetView>
  </sheetViews>
  <sheetFormatPr baseColWidth="10" defaultColWidth="11.42578125" defaultRowHeight="12.75"/>
  <cols>
    <col min="1" max="1" width="15.42578125" style="857" hidden="1" customWidth="1"/>
    <col min="2" max="2" width="9.42578125" style="857" hidden="1" customWidth="1"/>
    <col min="3" max="3" width="37.28515625" style="860" bestFit="1" customWidth="1"/>
    <col min="4" max="4" width="7.42578125" style="859" customWidth="1"/>
    <col min="5" max="5" width="16.7109375" style="859" customWidth="1"/>
    <col min="6" max="6" width="15.85546875" style="860" customWidth="1"/>
    <col min="7" max="7" width="13.5703125" style="859" customWidth="1"/>
    <col min="8" max="8" width="14" style="860" customWidth="1"/>
    <col min="9" max="9" width="14.42578125" style="861" customWidth="1"/>
    <col min="10" max="11" width="14.28515625" style="860" customWidth="1"/>
    <col min="12" max="13" width="14.28515625" style="862" customWidth="1"/>
    <col min="14" max="15" width="14.7109375" style="860" customWidth="1"/>
    <col min="16" max="16" width="14.28515625" style="860" customWidth="1"/>
    <col min="17" max="18" width="14.28515625" style="863" customWidth="1"/>
    <col min="19" max="20" width="14.28515625" style="860" customWidth="1"/>
    <col min="21" max="22" width="14.28515625" style="863" customWidth="1"/>
    <col min="23" max="24" width="14.140625" style="860" customWidth="1"/>
    <col min="25" max="25" width="14.28515625" style="1072" customWidth="1"/>
    <col min="26" max="26" width="12.85546875" style="860" customWidth="1"/>
    <col min="27" max="27" width="14.28515625" style="863" customWidth="1"/>
    <col min="28" max="29" width="14.85546875" style="860" customWidth="1"/>
    <col min="30" max="31" width="16.28515625" style="860" customWidth="1"/>
    <col min="32" max="33" width="14.28515625" style="860" customWidth="1"/>
    <col min="34" max="35" width="16.28515625" style="860" customWidth="1"/>
    <col min="36" max="36" width="12.5703125" style="860" customWidth="1"/>
    <col min="37" max="37" width="13" style="860" customWidth="1"/>
    <col min="38" max="39" width="12.85546875" style="860" customWidth="1"/>
    <col min="40" max="41" width="11.42578125" style="860"/>
    <col min="42" max="43" width="12.28515625" style="859" customWidth="1"/>
    <col min="44" max="45" width="16.140625" style="863" customWidth="1"/>
    <col min="46" max="49" width="14.5703125" style="860" customWidth="1"/>
    <col min="50" max="50" width="13.42578125" style="860" customWidth="1"/>
    <col min="51" max="52" width="14.85546875" style="860" customWidth="1"/>
    <col min="53" max="53" width="14.85546875" style="864" customWidth="1"/>
    <col min="54" max="55" width="14.42578125" hidden="1" customWidth="1"/>
    <col min="56" max="56" width="15.85546875" style="860" hidden="1" customWidth="1"/>
    <col min="57" max="64" width="11.42578125" style="860" hidden="1" customWidth="1"/>
    <col min="65" max="16384" width="11.42578125" style="860"/>
  </cols>
  <sheetData>
    <row r="1" spans="1:64">
      <c r="C1" s="858" t="str">
        <f>Criterios!A9 &amp;"  "&amp;Criterios!B9</f>
        <v>Tribunales de Justicia  ANDALUCIA</v>
      </c>
      <c r="F1" s="859"/>
      <c r="W1"/>
      <c r="X1"/>
      <c r="BD1" s="859"/>
    </row>
    <row r="2" spans="1:64" ht="16.5" customHeight="1">
      <c r="C2" s="571" t="str">
        <f>Criterios!A10 &amp;"  "&amp;Criterios!B10 &amp; "  " &amp; IF(NOT(ISBLANK(Criterios!A11)),Criterios!A11 &amp;"  "&amp;Criterios!B11,"")</f>
        <v>Provincias  MALAGA  Resumenes por Partidos Judiciales  MALAGA</v>
      </c>
      <c r="D2" s="865"/>
      <c r="E2" s="866"/>
      <c r="F2" s="867"/>
      <c r="G2" s="868"/>
      <c r="H2" s="869"/>
      <c r="I2" s="870"/>
      <c r="J2" s="869"/>
      <c r="K2" s="869"/>
      <c r="L2" s="871"/>
      <c r="M2" s="871"/>
      <c r="N2" s="869"/>
      <c r="O2" s="869"/>
      <c r="S2" s="869"/>
      <c r="T2" s="869"/>
      <c r="U2" s="872"/>
      <c r="V2" s="872"/>
      <c r="W2" s="869"/>
      <c r="X2" s="869"/>
      <c r="Y2" s="1073"/>
      <c r="BB2" s="368"/>
      <c r="BC2" s="368"/>
      <c r="BD2" s="867"/>
    </row>
    <row r="3" spans="1:64" ht="16.5" customHeight="1">
      <c r="C3" s="874"/>
      <c r="D3" s="875"/>
      <c r="F3" s="859"/>
      <c r="G3" s="876"/>
      <c r="H3" s="873"/>
      <c r="W3"/>
      <c r="X3"/>
      <c r="BD3" s="859"/>
    </row>
    <row r="4" spans="1:64" ht="16.5" customHeight="1" thickBot="1">
      <c r="C4" s="874"/>
      <c r="D4" s="877"/>
      <c r="E4" s="878"/>
      <c r="F4" s="878"/>
      <c r="G4" s="878"/>
      <c r="H4" s="879"/>
      <c r="I4" s="880"/>
      <c r="J4" s="878"/>
      <c r="K4" s="878"/>
      <c r="L4" s="881"/>
      <c r="M4" s="879"/>
      <c r="N4" s="878"/>
      <c r="O4" s="878"/>
      <c r="P4" s="879"/>
      <c r="Q4" s="872"/>
      <c r="R4" s="882"/>
      <c r="S4" s="879"/>
      <c r="T4" s="879"/>
      <c r="U4" s="878"/>
      <c r="V4" s="878"/>
      <c r="W4" s="879"/>
      <c r="X4" s="879"/>
      <c r="Y4" s="1074"/>
      <c r="Z4" s="879"/>
      <c r="AA4" s="878"/>
      <c r="AB4" s="879"/>
      <c r="AC4" s="879"/>
      <c r="AD4" s="878"/>
      <c r="AE4" s="878"/>
      <c r="AF4" s="879"/>
      <c r="AG4" s="879"/>
      <c r="AH4" s="879"/>
      <c r="AI4" s="879"/>
      <c r="AJ4" s="878"/>
      <c r="AK4" s="878"/>
      <c r="AL4" s="878"/>
      <c r="AM4" s="879"/>
      <c r="AN4" s="878"/>
      <c r="AO4" s="879"/>
      <c r="AP4" s="878"/>
      <c r="AQ4" s="878"/>
      <c r="AR4" s="879"/>
      <c r="AS4" s="879"/>
      <c r="AT4" s="879"/>
      <c r="AU4" s="879"/>
      <c r="AV4" s="878"/>
      <c r="AW4" s="878"/>
      <c r="AX4" s="879"/>
      <c r="AY4" s="879"/>
      <c r="AZ4" s="879"/>
      <c r="BA4" s="878"/>
      <c r="BB4" s="367"/>
      <c r="BC4" s="367"/>
      <c r="BD4" s="878"/>
    </row>
    <row r="5" spans="1:64" ht="15.75" customHeight="1">
      <c r="A5" s="1642" t="s">
        <v>469</v>
      </c>
      <c r="B5" s="297"/>
      <c r="C5" s="1642" t="str">
        <f>"Año:  " &amp;Criterios!B$5 &amp; "          Trimestre   " &amp;Criterios!D$5 &amp; " al " &amp;Criterios!D$6</f>
        <v>Año:  2021          Trimestre   1 al 4</v>
      </c>
      <c r="D5" s="1847" t="s">
        <v>549</v>
      </c>
      <c r="E5" s="1847" t="s">
        <v>762</v>
      </c>
      <c r="F5" s="1885" t="s">
        <v>531</v>
      </c>
      <c r="G5" s="1847" t="s">
        <v>176</v>
      </c>
      <c r="H5" s="1847" t="s">
        <v>911</v>
      </c>
      <c r="I5" s="1847" t="s">
        <v>912</v>
      </c>
      <c r="J5" s="1847" t="s">
        <v>915</v>
      </c>
      <c r="K5" s="1847" t="s">
        <v>916</v>
      </c>
      <c r="L5" s="1847" t="s">
        <v>793</v>
      </c>
      <c r="M5" s="1847" t="s">
        <v>937</v>
      </c>
      <c r="N5" s="1847" t="s">
        <v>917</v>
      </c>
      <c r="O5" s="1847" t="s">
        <v>913</v>
      </c>
      <c r="P5" s="1847" t="s">
        <v>232</v>
      </c>
      <c r="Q5" s="1847" t="s">
        <v>892</v>
      </c>
      <c r="R5" s="1847" t="s">
        <v>938</v>
      </c>
      <c r="S5" s="1847" t="str">
        <f>"Ingreso Computable 2003" &amp; IF(OR(EXACT(LEFT(boletin,2),"04"),EXACT(LEFT(boletin,2),"14"),EXACT(LEFT(boletin,2),"17"))," (Civil + Penal)","")</f>
        <v>Ingreso Computable 2003</v>
      </c>
      <c r="T5" s="1847" t="s">
        <v>914</v>
      </c>
      <c r="U5" s="1880" t="str">
        <f>"% Ingreso Computable 2003" &amp; IF(OR(EXACT(LEFT(boletin,2),"04"),EXACT(LEFT(boletin,2),"14"),EXACT(LEFT(boletin,2),"17"))," (Civil + Penal)","")</f>
        <v>% Ingreso Computable 2003</v>
      </c>
      <c r="V5" s="1880" t="s">
        <v>918</v>
      </c>
      <c r="W5" s="1847" t="s">
        <v>1049</v>
      </c>
      <c r="X5" s="1847" t="s">
        <v>1050</v>
      </c>
      <c r="Y5" s="1859" t="s">
        <v>883</v>
      </c>
      <c r="Z5" s="1909" t="str">
        <f>"RESOLUCION Nº  H/P" &amp; IF(OR(EXACT(LEFT(boletin,2),"04"),EXACT(LEFT(boletin,2),"14"),EXACT(LEFT(boletin,2),"17"))," (Civil + Penal)","")</f>
        <v>RESOLUCION Nº  H/P</v>
      </c>
      <c r="AA5" s="1912" t="str">
        <f>" % S/Iindicador  De  Resolución (Horas punto)" &amp; IF(OR(EXACT(LEFT(boletin,2),"04"),EXACT(LEFT(boletin,2),"14"),EXACT(LEFT(boletin,2),"17"))," (Civil + Penal)","")</f>
        <v xml:space="preserve"> % S/Iindicador  De  Resolución (Horas punto)</v>
      </c>
      <c r="AB5" s="1909" t="s">
        <v>919</v>
      </c>
      <c r="AC5" s="1909" t="s">
        <v>920</v>
      </c>
      <c r="AD5" s="1909" t="s">
        <v>921</v>
      </c>
      <c r="AE5" s="1909" t="s">
        <v>922</v>
      </c>
      <c r="AF5" s="1847" t="s">
        <v>923</v>
      </c>
      <c r="AG5" s="1847" t="s">
        <v>924</v>
      </c>
      <c r="AH5" s="1847" t="s">
        <v>925</v>
      </c>
      <c r="AI5" s="1847" t="s">
        <v>926</v>
      </c>
      <c r="AJ5" s="1847" t="s">
        <v>246</v>
      </c>
      <c r="AK5" s="1868" t="s">
        <v>728</v>
      </c>
      <c r="AL5" s="1868" t="s">
        <v>247</v>
      </c>
      <c r="AM5" s="1847" t="s">
        <v>772</v>
      </c>
      <c r="AN5" s="1847" t="s">
        <v>325</v>
      </c>
      <c r="AO5" s="1847" t="s">
        <v>326</v>
      </c>
      <c r="AP5" s="1847" t="s">
        <v>927</v>
      </c>
      <c r="AQ5" s="1847" t="s">
        <v>928</v>
      </c>
      <c r="AR5" s="1847" t="s">
        <v>929</v>
      </c>
      <c r="AS5" s="1847" t="s">
        <v>930</v>
      </c>
      <c r="AT5" s="1847" t="s">
        <v>931</v>
      </c>
      <c r="AU5" s="1847" t="s">
        <v>932</v>
      </c>
      <c r="AV5" s="1847" t="s">
        <v>933</v>
      </c>
      <c r="AW5" s="1847" t="s">
        <v>934</v>
      </c>
      <c r="AX5" s="1847" t="s">
        <v>440</v>
      </c>
      <c r="AY5" s="1847" t="s">
        <v>935</v>
      </c>
      <c r="AZ5" s="1847" t="s">
        <v>936</v>
      </c>
      <c r="BA5" s="1847" t="s">
        <v>727</v>
      </c>
      <c r="BB5" s="1718" t="s">
        <v>943</v>
      </c>
      <c r="BC5" s="1718" t="s">
        <v>944</v>
      </c>
      <c r="BD5" s="1885" t="s">
        <v>945</v>
      </c>
      <c r="BE5" s="1906"/>
      <c r="BF5" s="1907"/>
      <c r="BG5" s="1906"/>
      <c r="BH5" s="1907"/>
      <c r="BI5" s="1906"/>
      <c r="BJ5" s="1907"/>
      <c r="BK5" s="1906"/>
      <c r="BL5" s="1907"/>
    </row>
    <row r="6" spans="1:64" ht="21.75" customHeight="1">
      <c r="A6" s="1901"/>
      <c r="B6" s="883"/>
      <c r="C6" s="1903"/>
      <c r="D6" s="1848"/>
      <c r="E6" s="1848"/>
      <c r="F6" s="1886"/>
      <c r="G6" s="1848"/>
      <c r="H6" s="1848"/>
      <c r="I6" s="1848"/>
      <c r="J6" s="1848"/>
      <c r="K6" s="1848"/>
      <c r="L6" s="1848"/>
      <c r="M6" s="1848"/>
      <c r="N6" s="1848"/>
      <c r="O6" s="1848"/>
      <c r="P6" s="1848"/>
      <c r="Q6" s="1848"/>
      <c r="R6" s="1848"/>
      <c r="S6" s="1848"/>
      <c r="T6" s="1848"/>
      <c r="U6" s="1881"/>
      <c r="V6" s="1881"/>
      <c r="W6" s="1848"/>
      <c r="X6" s="1848"/>
      <c r="Y6" s="1860"/>
      <c r="Z6" s="1910"/>
      <c r="AA6" s="1913"/>
      <c r="AB6" s="1910"/>
      <c r="AC6" s="1910"/>
      <c r="AD6" s="1910"/>
      <c r="AE6" s="1910"/>
      <c r="AF6" s="1848"/>
      <c r="AG6" s="1848"/>
      <c r="AH6" s="1848"/>
      <c r="AI6" s="1848"/>
      <c r="AJ6" s="1848"/>
      <c r="AK6" s="1869"/>
      <c r="AL6" s="1869"/>
      <c r="AM6" s="1848"/>
      <c r="AN6" s="1848"/>
      <c r="AO6" s="1848"/>
      <c r="AP6" s="1848"/>
      <c r="AQ6" s="1848"/>
      <c r="AR6" s="1848"/>
      <c r="AS6" s="1848"/>
      <c r="AT6" s="1848"/>
      <c r="AU6" s="1848"/>
      <c r="AV6" s="1848"/>
      <c r="AW6" s="1848"/>
      <c r="AX6" s="1848"/>
      <c r="AY6" s="1848"/>
      <c r="AZ6" s="1848"/>
      <c r="BA6" s="1848"/>
      <c r="BB6" s="1719"/>
      <c r="BC6" s="1719"/>
      <c r="BD6" s="1886"/>
      <c r="BE6" s="1904"/>
      <c r="BF6" s="1904"/>
      <c r="BG6" s="1904"/>
      <c r="BH6" s="1904"/>
      <c r="BI6" s="1904"/>
      <c r="BJ6" s="1904"/>
      <c r="BK6" s="1904"/>
      <c r="BL6" s="1904"/>
    </row>
    <row r="7" spans="1:64" ht="38.25" customHeight="1" thickBot="1">
      <c r="A7" s="1902"/>
      <c r="B7" s="884"/>
      <c r="C7" s="885" t="str">
        <f>Datos!A7</f>
        <v>COMPETENCIAS</v>
      </c>
      <c r="D7" s="1849"/>
      <c r="E7" s="1849"/>
      <c r="F7" s="1887"/>
      <c r="G7" s="1849"/>
      <c r="H7" s="1849"/>
      <c r="I7" s="1849"/>
      <c r="J7" s="1849"/>
      <c r="K7" s="1849"/>
      <c r="L7" s="1849"/>
      <c r="M7" s="1849"/>
      <c r="N7" s="1849"/>
      <c r="O7" s="1849"/>
      <c r="P7" s="1849"/>
      <c r="Q7" s="1849"/>
      <c r="R7" s="1849"/>
      <c r="S7" s="1849"/>
      <c r="T7" s="1849"/>
      <c r="U7" s="1882"/>
      <c r="V7" s="1882"/>
      <c r="W7" s="1849"/>
      <c r="X7" s="1849"/>
      <c r="Y7" s="1861"/>
      <c r="Z7" s="1911"/>
      <c r="AA7" s="1914"/>
      <c r="AB7" s="1911"/>
      <c r="AC7" s="1911"/>
      <c r="AD7" s="1911"/>
      <c r="AE7" s="1911"/>
      <c r="AF7" s="1849"/>
      <c r="AG7" s="1849"/>
      <c r="AH7" s="1849"/>
      <c r="AI7" s="1849"/>
      <c r="AJ7" s="1849"/>
      <c r="AK7" s="1870"/>
      <c r="AL7" s="1870"/>
      <c r="AM7" s="1849"/>
      <c r="AN7" s="1849"/>
      <c r="AO7" s="1849"/>
      <c r="AP7" s="1849"/>
      <c r="AQ7" s="1849"/>
      <c r="AR7" s="1849"/>
      <c r="AS7" s="1849"/>
      <c r="AT7" s="1849"/>
      <c r="AU7" s="1849"/>
      <c r="AV7" s="1849"/>
      <c r="AW7" s="1849"/>
      <c r="AX7" s="1849"/>
      <c r="AY7" s="1849"/>
      <c r="AZ7" s="1849"/>
      <c r="BA7" s="1849"/>
      <c r="BB7" s="1908"/>
      <c r="BC7" s="1908"/>
      <c r="BD7" s="1887"/>
      <c r="BE7" s="1905"/>
      <c r="BF7" s="1905"/>
      <c r="BG7" s="1905"/>
      <c r="BH7" s="1905"/>
      <c r="BI7" s="1905"/>
      <c r="BJ7" s="1905"/>
      <c r="BK7" s="1905"/>
      <c r="BL7" s="1905"/>
    </row>
    <row r="8" spans="1:64" ht="15.75" thickTop="1" thickBot="1">
      <c r="A8" s="886"/>
      <c r="B8" s="886"/>
      <c r="C8" s="174" t="str">
        <f>Datos!A8</f>
        <v>Jurisdicción Civil ( 1 ):</v>
      </c>
      <c r="D8" s="887"/>
      <c r="E8" s="887"/>
      <c r="F8" s="888"/>
      <c r="G8" s="889"/>
      <c r="H8" s="888"/>
      <c r="I8" s="890"/>
      <c r="J8" s="890"/>
      <c r="K8" s="890"/>
      <c r="L8" s="891"/>
      <c r="M8" s="891"/>
      <c r="N8" s="890"/>
      <c r="O8" s="890"/>
      <c r="P8" s="890"/>
      <c r="Q8" s="892"/>
      <c r="R8" s="892"/>
      <c r="S8" s="890"/>
      <c r="T8" s="890"/>
      <c r="U8" s="892"/>
      <c r="V8" s="892"/>
      <c r="W8" s="1371"/>
      <c r="X8" s="1372"/>
      <c r="Y8" s="890"/>
      <c r="Z8" s="893"/>
      <c r="AA8" s="894"/>
      <c r="AB8" s="888"/>
      <c r="AC8" s="888"/>
      <c r="AD8" s="890"/>
      <c r="AE8" s="890"/>
      <c r="AF8" s="888"/>
      <c r="AG8" s="888"/>
      <c r="AH8" s="890"/>
      <c r="AI8" s="890"/>
      <c r="AJ8" s="895"/>
      <c r="AK8" s="897"/>
      <c r="AL8" s="888"/>
      <c r="AM8" s="890"/>
      <c r="AN8" s="899"/>
      <c r="AO8" s="900"/>
      <c r="AP8" s="1063"/>
      <c r="AQ8" s="1063"/>
      <c r="AR8" s="901"/>
      <c r="AS8" s="901"/>
      <c r="AT8" s="901"/>
      <c r="AU8" s="901"/>
      <c r="AV8" s="902"/>
      <c r="AW8" s="902"/>
      <c r="AX8" s="901"/>
      <c r="AY8" s="904"/>
      <c r="AZ8" s="904"/>
      <c r="BA8" s="905"/>
      <c r="BB8" s="231"/>
      <c r="BC8" s="231"/>
      <c r="BD8" s="888"/>
      <c r="BE8" s="906"/>
      <c r="BF8" s="906"/>
      <c r="BG8" s="906"/>
      <c r="BH8" s="906"/>
      <c r="BI8" s="906"/>
      <c r="BJ8" s="906"/>
      <c r="BK8" s="906"/>
      <c r="BL8" s="906"/>
    </row>
    <row r="9" spans="1:64" s="859" customFormat="1" ht="15">
      <c r="A9" s="749">
        <f>Datos!AO9</f>
        <v>17</v>
      </c>
      <c r="B9" s="749" t="s">
        <v>324</v>
      </c>
      <c r="C9" s="770" t="str">
        <f>Datos!A9</f>
        <v xml:space="preserve">Jdos. 1ª Instancia   </v>
      </c>
      <c r="D9" s="597"/>
      <c r="E9" s="907">
        <f>IF(ISNUMBER(Datos!AQ9),Datos!AQ9," - ")</f>
        <v>17</v>
      </c>
      <c r="F9" s="908" t="str">
        <f>IF(ISNUMBER(AF9+AB9-I9),AF9+AB9-I9," - ")</f>
        <v xml:space="preserve"> - </v>
      </c>
      <c r="G9" s="909" t="str">
        <f>IF(ISNUMBER(IF(J_V="SI",Datos!I9,Datos!I9+Datos!Y9)-IF(Monitorios="SI",Datos!CA9,0)),
                          IF(J_V="SI",Datos!I9,Datos!I9+Datos!Y9)-IF(Monitorios="SI",Datos!CA9,0),
                          " - ")</f>
        <v xml:space="preserve"> - </v>
      </c>
      <c r="H9" s="908"/>
      <c r="I9" s="910"/>
      <c r="J9" s="910">
        <f>IF(ISNUMBER(Datos!DF9),Datos!DF9,0)</f>
        <v>0</v>
      </c>
      <c r="K9" s="910"/>
      <c r="L9" s="907"/>
      <c r="M9" s="907"/>
      <c r="N9" s="910"/>
      <c r="O9" s="910"/>
      <c r="P9" s="910"/>
      <c r="Q9" s="911"/>
      <c r="R9" s="911"/>
      <c r="S9" s="910"/>
      <c r="T9" s="910"/>
      <c r="U9" s="912"/>
      <c r="V9" s="912"/>
      <c r="W9" s="910"/>
      <c r="X9" s="1373"/>
      <c r="Y9" s="1076"/>
      <c r="Z9" s="908"/>
      <c r="AA9" s="983"/>
      <c r="AB9" s="908"/>
      <c r="AC9" s="908"/>
      <c r="AD9" s="910"/>
      <c r="AE9" s="910"/>
      <c r="AF9" s="913" t="str">
        <f>IF(ISNUMBER(IF(J_V="SI",Datos!L9,Datos!L9+Datos!AB9)-IF(Monitorios="SI",Datos!CD9,0)),
                          IF(J_V="SI",Datos!L9,Datos!L9+Datos!AB9)-IF(Monitorios="SI",Datos!CD9,0),
                          " - ")</f>
        <v xml:space="preserve"> - </v>
      </c>
      <c r="AG9" s="913"/>
      <c r="AH9" s="914"/>
      <c r="AI9" s="914"/>
      <c r="AJ9" s="907"/>
      <c r="AK9" s="915"/>
      <c r="AL9" s="908"/>
      <c r="AM9" s="917"/>
      <c r="AN9" s="917"/>
      <c r="AO9" s="918"/>
      <c r="AP9" s="920"/>
      <c r="AQ9" s="920"/>
      <c r="AR9" s="921"/>
      <c r="AS9" s="921"/>
      <c r="AT9" s="921"/>
      <c r="AU9" s="921"/>
      <c r="AV9" s="922"/>
      <c r="AW9" s="922"/>
      <c r="AX9" s="924"/>
      <c r="AY9" s="924"/>
      <c r="AZ9" s="924"/>
      <c r="BA9" s="925">
        <f>Datos!DU9</f>
        <v>0</v>
      </c>
      <c r="BB9" s="551"/>
      <c r="BC9" s="551"/>
      <c r="BD9" s="908"/>
      <c r="BE9" s="926"/>
      <c r="BF9" s="926"/>
      <c r="BG9" s="926"/>
      <c r="BH9" s="926"/>
      <c r="BI9" s="926"/>
      <c r="BJ9" s="926"/>
      <c r="BK9" s="926"/>
      <c r="BL9" s="926"/>
    </row>
    <row r="10" spans="1:64" s="859" customFormat="1" ht="15">
      <c r="A10" s="749">
        <f>Datos!AO10</f>
        <v>3</v>
      </c>
      <c r="B10" s="750" t="s">
        <v>324</v>
      </c>
      <c r="C10" s="751" t="str">
        <f>Datos!A10</f>
        <v>Jdos. Violencia contra la mujer</v>
      </c>
      <c r="D10" s="605"/>
      <c r="E10" s="907">
        <f>IF(ISNUMBER(Datos!AQ10),Datos!AQ10," - ")</f>
        <v>3</v>
      </c>
      <c r="F10" s="908">
        <f>IF(ISNUMBER(Datos!L10+Datos!K10-Datos!J10),Datos!L10+Datos!K10-Datos!J10," - ")</f>
        <v>265</v>
      </c>
      <c r="G10" s="909">
        <f>IF(ISNUMBER(Datos!I10),Datos!I10," - ")</f>
        <v>260</v>
      </c>
      <c r="H10" s="908" t="str">
        <f>IF(ISNUMBER(Datos!DB10),Datos!DB10," - ")</f>
        <v xml:space="preserve"> - </v>
      </c>
      <c r="I10" s="910" t="str">
        <f>IF(ISNUMBER(DatosP!DB18),DatosP!DB18," - ")</f>
        <v xml:space="preserve"> - </v>
      </c>
      <c r="J10" s="910">
        <f>IF(ISNUMBER(Datos!DF10),Datos!DF10,0)</f>
        <v>0</v>
      </c>
      <c r="K10" s="910">
        <f>IF(ISNUMBER(DatosP!DF18),DatosP!DF18,0)</f>
        <v>0</v>
      </c>
      <c r="L10" s="907" t="str">
        <f>IF(ISNUMBER(DatosP!EB18),DatosP!EB18," - ")</f>
        <v xml:space="preserve"> - </v>
      </c>
      <c r="M10" s="907" t="str">
        <f>IF(ISNUMBER(DatosP!EC18),DatosP!EC18," - ")</f>
        <v xml:space="preserve"> - </v>
      </c>
      <c r="N10" s="910">
        <f>IF(ISNUMBER(Datos!P10),Datos!P10,0)</f>
        <v>163</v>
      </c>
      <c r="O10" s="910">
        <f>IF(ISNUMBER(DatosP!P18),DatosP!P18,0)</f>
        <v>0</v>
      </c>
      <c r="P10" s="910"/>
      <c r="Q10" s="911" t="str">
        <f>IF(ISNUMBER(DatosP!EB18*factor_trimestre/DatosP!EE18),DatosP!EB18*factor_trimestre/DatosP!EE18," - ")</f>
        <v xml:space="preserve"> - </v>
      </c>
      <c r="R10" s="911" t="str">
        <f>IF(ISNUMBER(DatosP!EC18*factor_trimestre/DatosP!EF18),DatosP!EC18*factor_trimestre/DatosP!EF18," - ")</f>
        <v xml:space="preserve"> - </v>
      </c>
      <c r="S10" s="910" t="str">
        <f>IF(ISNUMBER(Datos!AS10/E10),Datos!AS10/E10," - ")</f>
        <v xml:space="preserve"> - </v>
      </c>
      <c r="T10" s="910">
        <f>IF(ISNUMBER(DatosP!AS18/E10),DatosP!AS18/E10," - ")</f>
        <v>0</v>
      </c>
      <c r="U10" s="912" t="str">
        <f>IF(ISNUMBER(S10/(Datos!BM10/factor_trimestre)),S10/(Datos!BM10/factor_trimestre)," - ")</f>
        <v xml:space="preserve"> - </v>
      </c>
      <c r="V10" s="912" t="str">
        <f>IF(ISNUMBER(T10/(DatosP!BM18/factor_trimestre)),T10/(Datos!BM18/factor_trimestre)," - ")</f>
        <v xml:space="preserve"> - </v>
      </c>
      <c r="W10" s="910" t="str">
        <f>IF(ISNUMBER(Datos!EO10+DatosP!EO18),Datos!EO10+DatosP!EO18," - ")</f>
        <v xml:space="preserve"> - </v>
      </c>
      <c r="X10" s="1373" t="str">
        <f>IF(ISNUMBER((W10/(Datos!ER10))*factor_trimestre),(W10/(Datos!ER10))*factor_trimestre," - ")</f>
        <v xml:space="preserve"> - </v>
      </c>
      <c r="Y10" s="1076"/>
      <c r="Z10" s="908">
        <f>IF(ISNUMBER(Datos!BY10+DatosP!BY18+Datos!BZ10+DatosP!BZ18),Datos!BY10+DatosP!BY18+Datos!BZ10+DatosP!BZ18," - ")</f>
        <v>0</v>
      </c>
      <c r="AA10" s="983">
        <f>IF(ISNUMBER((Z10*factor_trimestre)/((Datos!CN10+DatosP!CN18)/2)),(Z10*factor_trimestre)/((Datos!CN10+DatosP!CN18)/2),"-")</f>
        <v>0</v>
      </c>
      <c r="AB10" s="908">
        <f>IF(ISNUMBER(Datos!K10),Datos!K10," - ")</f>
        <v>532</v>
      </c>
      <c r="AC10" s="908" t="str">
        <f>IF(ISNUMBER(IF(D_I="SI",DatosP!K18,DatosP!K18+DatosP!AE18)),IF(D_I="SI",DatosP!K18,DatosP!K18+DatosP!AE18)," - ")</f>
        <v xml:space="preserve"> - </v>
      </c>
      <c r="AD10" s="910"/>
      <c r="AE10" s="910"/>
      <c r="AF10" s="913">
        <f>IF(ISNUMBER(Datos!L10),Datos!L10,"-")</f>
        <v>204</v>
      </c>
      <c r="AG10" s="913" t="str">
        <f>IF(ISNUMBER(DatosP!L18),DatosP!L18,"-")</f>
        <v>-</v>
      </c>
      <c r="AH10" s="914"/>
      <c r="AI10" s="914"/>
      <c r="AJ10" s="907">
        <f>IF(ISNUMBER(Datos!BV10+DatosP!BV18),Datos!BV10+DatosP!BV18," - ")</f>
        <v>0</v>
      </c>
      <c r="AK10" s="915">
        <f>IF(ISNUMBER(Datos!DV10+DatosP!DV18),Datos!DV10+DatosP!DV18," - ")</f>
        <v>0</v>
      </c>
      <c r="AL10" s="908">
        <f>IF(ISNUMBER(Datos!M10+DatosP!M18),Datos!M10+DatosP!M18," - ")</f>
        <v>207</v>
      </c>
      <c r="AM10" s="917">
        <f>IF(ISNUMBER(Datos!N10+DatosP!N18),Datos!N10+DatosP!N18," - ")</f>
        <v>247</v>
      </c>
      <c r="AN10" s="917">
        <f>IF(ISNUMBER(Datos!BW10+DatosP!BW18),Datos!BW10+DatosP!BW18," - ")</f>
        <v>0</v>
      </c>
      <c r="AO10" s="918">
        <f>IF(ISNUMBER(Datos!BX10+DatosP!BX18),Datos!BX10+DatosP!BX18," - ")</f>
        <v>0</v>
      </c>
      <c r="AP10" s="920">
        <f>IF(ISNUMBER(((Datos!L10/Datos!K10)*11)/factor_trimestre),((Datos!L10/Datos!K10)*11)/factor_trimestre," - ")</f>
        <v>4.2180451127819545</v>
      </c>
      <c r="AQ10" s="920" t="str">
        <f>IF(ISNUMBER(((IF(D_I="SI",DatosP!L18/DatosP!K18,(DatosP!L18+DatosP!AF18)/(DatosP!K18+DatosP!AE18)))*11)/factor_trimestre),((IF(D_I="SI",DatosP!L18/DatosP!K18,(DatosP!L18+DatosP!AF18)/(DatosP!K18+DatosP!AE18)))*11)/factor_trimestre," - ")</f>
        <v xml:space="preserve"> - </v>
      </c>
      <c r="AR10" s="921" t="str">
        <f>IF(ISNUMBER(Datos!CI10/Datos!CJ10),Datos!CI10/Datos!CJ10," - ")</f>
        <v xml:space="preserve"> - </v>
      </c>
      <c r="AS10" s="921" t="str">
        <f>IF(ISNUMBER(DatosP!CI18/DatosP!CJ18),DatosP!CI18/DatosP!CJ18," - ")</f>
        <v xml:space="preserve"> - </v>
      </c>
      <c r="AT10" s="921" t="str">
        <f>IF(ISNUMBER(((H10-AB10+J10)/(F10-J10))),(H10-AB10+J10)/(F10-J10)," - ")</f>
        <v xml:space="preserve"> - </v>
      </c>
      <c r="AU10" s="921" t="str">
        <f>IF(ISNUMBER((DatosP!DB18-DatosP!K18+DatosP!DF18)/(DatosP!L18+DatosP!K18-DatosP!J18-DatosP!DF18)),(DatosP!DB18-DatosP!K18+DatosP!DF18)/(DatosP!L18+DatosP!K18-DatosP!J18-DatosP!DF18)," - ")</f>
        <v xml:space="preserve"> - </v>
      </c>
      <c r="AV10" s="922"/>
      <c r="AW10" s="922"/>
      <c r="AX10" s="924">
        <f>IF(ISNUMBER(Datos!CW10+DatosP!CW18),Datos!CW10+DatosP!CW18," - ")</f>
        <v>0</v>
      </c>
      <c r="AY10" s="924">
        <f>Datos!CX10</f>
        <v>0</v>
      </c>
      <c r="AZ10" s="924">
        <f>DatosP!CX18</f>
        <v>0</v>
      </c>
      <c r="BA10" s="925">
        <f>Datos!DU10</f>
        <v>0</v>
      </c>
      <c r="BB10" s="551"/>
      <c r="BC10" s="551"/>
      <c r="BD10" s="908">
        <f>IF(ISNUMBER(DatosP!L18+DatosP!K18-DatosP!J18),DatosP!L18+DatosP!K18-DatosP!J18," - ")</f>
        <v>0</v>
      </c>
      <c r="BE10" s="926"/>
      <c r="BF10" s="926"/>
      <c r="BG10" s="926"/>
      <c r="BH10" s="926"/>
      <c r="BI10" s="926"/>
      <c r="BJ10" s="926"/>
      <c r="BK10" s="926"/>
      <c r="BL10" s="926"/>
    </row>
    <row r="11" spans="1:64" s="859" customFormat="1" ht="15">
      <c r="A11" s="749">
        <f>Datos!AO11</f>
        <v>4</v>
      </c>
      <c r="B11" s="750" t="s">
        <v>324</v>
      </c>
      <c r="C11" s="751" t="str">
        <f>Datos!A11</f>
        <v xml:space="preserve">Jdos. Familia                                   </v>
      </c>
      <c r="D11" s="605"/>
      <c r="E11" s="907">
        <f>IF(ISNUMBER(Datos!AQ11),Datos!AQ11," - ")</f>
        <v>4</v>
      </c>
      <c r="F11" s="908" t="str">
        <f>IF(ISNUMBER(AF11+AB11-I11),AF11+AB11-I11," - ")</f>
        <v xml:space="preserve"> - </v>
      </c>
      <c r="G11" s="909" t="str">
        <f>IF(ISNUMBER(IF(J_V="SI",Datos!I11,Datos!I11+Datos!Y11)-IF(Monitorios="SI",Datos!CA11,0)),
                          IF(J_V="SI",Datos!I11,Datos!I11+Datos!Y11)-IF(Monitorios="SI",Datos!CA11,0),
                          " - ")</f>
        <v xml:space="preserve"> - </v>
      </c>
      <c r="H11" s="908"/>
      <c r="I11" s="910"/>
      <c r="J11" s="910">
        <f>IF(ISNUMBER(Datos!DF11),Datos!DF11,0)</f>
        <v>0</v>
      </c>
      <c r="K11" s="910"/>
      <c r="L11" s="907"/>
      <c r="M11" s="907"/>
      <c r="N11" s="910"/>
      <c r="O11" s="910"/>
      <c r="P11" s="910"/>
      <c r="Q11" s="911"/>
      <c r="R11" s="911"/>
      <c r="S11" s="910"/>
      <c r="T11" s="910"/>
      <c r="U11" s="912"/>
      <c r="V11" s="912"/>
      <c r="W11" s="910"/>
      <c r="X11" s="1373"/>
      <c r="Y11" s="1076"/>
      <c r="Z11" s="908"/>
      <c r="AA11" s="983"/>
      <c r="AB11" s="908"/>
      <c r="AC11" s="908"/>
      <c r="AD11" s="910"/>
      <c r="AE11" s="910"/>
      <c r="AF11" s="913" t="str">
        <f>IF(ISNUMBER(IF(J_V="SI",Datos!L11,Datos!L11+Datos!AB11)-IF(Monitorios="SI",Datos!CD11,0)),
                          IF(J_V="SI",Datos!L11,Datos!L11+Datos!AB11)-IF(Monitorios="SI",Datos!CD11,0),
                          " - ")</f>
        <v xml:space="preserve"> - </v>
      </c>
      <c r="AG11" s="913"/>
      <c r="AH11" s="914"/>
      <c r="AI11" s="914"/>
      <c r="AJ11" s="914"/>
      <c r="AK11" s="915"/>
      <c r="AL11" s="908"/>
      <c r="AM11" s="917"/>
      <c r="AN11" s="917"/>
      <c r="AO11" s="918"/>
      <c r="AP11" s="920"/>
      <c r="AQ11" s="920"/>
      <c r="AR11" s="921"/>
      <c r="AS11" s="921"/>
      <c r="AT11" s="921"/>
      <c r="AU11" s="921"/>
      <c r="AV11" s="922"/>
      <c r="AW11" s="922"/>
      <c r="AX11" s="924"/>
      <c r="AY11" s="924"/>
      <c r="AZ11" s="924"/>
      <c r="BA11" s="925">
        <f>Datos!DU11</f>
        <v>0</v>
      </c>
      <c r="BB11" s="551"/>
      <c r="BC11" s="551"/>
      <c r="BD11" s="908"/>
      <c r="BE11" s="926"/>
      <c r="BF11" s="926"/>
      <c r="BG11" s="926"/>
      <c r="BH11" s="926"/>
      <c r="BI11" s="926"/>
      <c r="BJ11" s="926"/>
      <c r="BK11" s="926"/>
      <c r="BL11" s="926"/>
    </row>
    <row r="12" spans="1:64" s="859" customFormat="1" ht="15">
      <c r="A12" s="749">
        <f>Datos!AO12</f>
        <v>0</v>
      </c>
      <c r="B12" s="750" t="s">
        <v>324</v>
      </c>
      <c r="C12" s="751" t="str">
        <f>Datos!A12</f>
        <v xml:space="preserve">Jdos. 1ª Instª. e Instr.                        </v>
      </c>
      <c r="D12" s="605"/>
      <c r="E12" s="907">
        <f>IF(ISNUMBER(Datos!AQ12),Datos!AQ12," - ")</f>
        <v>0</v>
      </c>
      <c r="F12" s="908" t="str">
        <f>IF(ISNUMBER(AF12+AB12-Datos!DC12),AF12+AB12-Datos!DC12," - ")</f>
        <v xml:space="preserve"> - </v>
      </c>
      <c r="G12" s="909" t="str">
        <f>IF(ISNUMBER(IF(J_V="SI",Datos!I12,Datos!I12+Datos!Y12)-IF(Monitorios="SI",Datos!CA12,0)),
                          IF(J_V="SI",Datos!I12,Datos!I12+Datos!Y12)-IF(Monitorios="SI",Datos!CA12,0),
                          " - ")</f>
        <v xml:space="preserve"> - </v>
      </c>
      <c r="H12" s="908" t="str">
        <f>IF(ISNUMBER(Datos!DC12),Datos!DC12," - ")</f>
        <v xml:space="preserve"> - </v>
      </c>
      <c r="I12" s="910" t="str">
        <f>IF(ISNUMBER(DatosP!DC17),DatosP!DC17," - ")</f>
        <v xml:space="preserve"> - </v>
      </c>
      <c r="J12" s="910">
        <f>IF(ISNUMBER(Datos!DF12),Datos!DF12,0)</f>
        <v>0</v>
      </c>
      <c r="K12" s="910">
        <f>IF(ISNUMBER(DatosP!DF17),DatosP!DF17,0)</f>
        <v>0</v>
      </c>
      <c r="L12" s="907"/>
      <c r="M12" s="907"/>
      <c r="N12" s="910">
        <f>IF(ISNUMBER(Datos!P12),Datos!P12,0)</f>
        <v>0</v>
      </c>
      <c r="O12" s="910">
        <f>IF(ISNUMBER(DatosP!P17),DatosP!P17,0)</f>
        <v>0</v>
      </c>
      <c r="P12" s="910" t="str">
        <f>IF(ISNUMBER(DatosP!DE17),DatosP!DE17," - ")</f>
        <v xml:space="preserve"> - </v>
      </c>
      <c r="Q12" s="911"/>
      <c r="R12" s="911"/>
      <c r="S12" s="910" t="str">
        <f>IF(ISNUMBER(Datos!AS12*(2500/380)+DatosP!AS17),Datos!AS12*(2500/380)+DatosP!AS17," - ")</f>
        <v xml:space="preserve"> - </v>
      </c>
      <c r="T12" s="910" t="str">
        <f>IF(ISNUMBER(DatosP!AS17/E12),DatosP!AS17/E12," - ")</f>
        <v xml:space="preserve"> - </v>
      </c>
      <c r="U12" s="912" t="str">
        <f>IF(ISNUMBER(S12/((2*DatosP!BM17)/factor_trimestre)),S12/((2*DatosP!BM17)/factor_trimestre)," - ")</f>
        <v xml:space="preserve"> - </v>
      </c>
      <c r="V12" s="912" t="str">
        <f>IF(ISNUMBER(T12/(DatosP!BM17/factor_trimestre)),T12/(DatosP!BM17/factor_trimestre)," - ")</f>
        <v xml:space="preserve"> - </v>
      </c>
      <c r="W12" s="910" t="str">
        <f>IF(ISNUMBER(Datos!EO12*DatosP!ER17/Datos!ER12+DatosP!EO17),Datos!EO12*DatosP!ER17/Datos!ER12+DatosP!EO17," - ")</f>
        <v xml:space="preserve"> - </v>
      </c>
      <c r="X12" s="1373" t="str">
        <f>IF(ISNUMBER((W12/(2000))*factor_trimestre),(W12/(2000))*factor_trimestre," - ")</f>
        <v xml:space="preserve"> - </v>
      </c>
      <c r="Y12" s="1076" t="str">
        <f>IF(ISNUMBER(Datos!CB12),Datos!CB12," - ")</f>
        <v xml:space="preserve"> - </v>
      </c>
      <c r="Z12" s="908">
        <f>IF(ISNUMBER(Datos!BY12+DatosP!BY17),Datos!BY12+DatosP!BY17," - ")</f>
        <v>0</v>
      </c>
      <c r="AA12" s="983">
        <f>IF(ISNUMBER((Z12*factor_trimestre)/((Datos!CN12+DatosP!CN17)/2)),(Z12*factor_trimestre)/((Datos!CN12+DatosP!CN17)/2),"-")</f>
        <v>0</v>
      </c>
      <c r="AB12" s="908" t="str">
        <f>IF(ISNUMBER(IF(J_V="SI",Datos!K12,Datos!K12+Datos!AA12)-IF(Monitorios="SI",Datos!CC12,0)),
                          IF(J_V="SI",Datos!K12,Datos!K12+Datos!AA12)-IF(Monitorios="SI",Datos!CC12,0),
                          " - ")</f>
        <v xml:space="preserve"> - </v>
      </c>
      <c r="AC12" s="908" t="str">
        <f>IF(ISNUMBER(IF(D_I="SI",DatosP!K17,DatosP!K17+DatosP!AE17)),IF(D_I="SI",DatosP!K17,DatosP!K17+DatosP!AE17)," - ")</f>
        <v xml:space="preserve"> - </v>
      </c>
      <c r="AD12" s="910" t="str">
        <f>IF(ISNUMBER(Datos!Q12),Datos!Q12," - ")</f>
        <v xml:space="preserve"> - </v>
      </c>
      <c r="AE12" s="910" t="str">
        <f>IF(ISNUMBER(DatosP!Q17),DatosP!Q17," - ")</f>
        <v xml:space="preserve"> - </v>
      </c>
      <c r="AF12" s="913" t="str">
        <f>IF(ISNUMBER(IF(J_V="SI",Datos!L12,Datos!L12+Datos!AB12)-IF(Monitorios="SI",Datos!CD12,0)),
                          IF(J_V="SI",Datos!L12,Datos!L12+Datos!AB12)-IF(Monitorios="SI",Datos!CD12,0),
                          " - ")</f>
        <v xml:space="preserve"> - </v>
      </c>
      <c r="AG12" s="913" t="str">
        <f>IF(ISNUMBER(IF(D_I="SI",DatosP!L17,DatosP!L17+DatosP!AF17)),IF(D_I="SI",DatosP!L17,DatosP!L17+DatosP!AF17)," - ")</f>
        <v xml:space="preserve"> - </v>
      </c>
      <c r="AH12" s="914" t="str">
        <f>IF(ISNUMBER(Datos!R12),Datos!R12," - ")</f>
        <v xml:space="preserve"> - </v>
      </c>
      <c r="AI12" s="914" t="str">
        <f>IF(ISNUMBER(DatosP!R17),DatosP!R17," - ")</f>
        <v xml:space="preserve"> - </v>
      </c>
      <c r="AJ12" s="907">
        <f>IF(ISNUMBER(Datos!BV12+DatosP!BV17),Datos!BV12+DatosP!BV17," - ")</f>
        <v>0</v>
      </c>
      <c r="AK12" s="915" t="str">
        <f>IF(ISNUMBER(Datos!DV12),Datos!DV12," - ")</f>
        <v xml:space="preserve"> - </v>
      </c>
      <c r="AL12" s="908" t="str">
        <f>IF(ISNUMBER(Datos!M12+DatosP!M17),Datos!M12+DatosP!M17," - ")</f>
        <v xml:space="preserve"> - </v>
      </c>
      <c r="AM12" s="917" t="str">
        <f>IF(ISNUMBER(Datos!N12+DatosP!N17),Datos!N12+DatosP!N17," - ")</f>
        <v xml:space="preserve"> - </v>
      </c>
      <c r="AN12" s="917">
        <f>IF(ISNUMBER(Datos!BW12+DatosP!BW17),Datos!BW12+DatosP!BW17," - ")</f>
        <v>0</v>
      </c>
      <c r="AO12" s="918">
        <f>IF(ISNUMBER(Datos!BX12+DatosP!BX17),Datos!BX12+DatosP!BX17," - ")</f>
        <v>0</v>
      </c>
      <c r="AP12" s="920" t="str">
        <f>IF(ISNUMBER(((IF(J_V="SI",Datos!L12/Datos!K12,(Datos!L12+Datos!AB12)/(Datos!K12+Datos!AA12)))*11)/factor_trimestre),((IF(J_V="SI",Datos!L12/Datos!K12,(Datos!L12+Datos!AB12)/(Datos!K12+Datos!AA12)))*11)/factor_trimestre," - ")</f>
        <v xml:space="preserve"> - </v>
      </c>
      <c r="AQ12" s="920" t="str">
        <f>IF(ISNUMBER(((IF(D_I="SI",DatosP!L17/DatosP!K17,(DatosP!L17+DatosP!AF17)/(DatosP!K17+DatosP!AE17)))*11)/factor_trimestre),((IF(D_I="SI",DatosP!L17/DatosP!K17,(DatosP!L17+DatosP!AF17)/(DatosP!K17+DatosP!AE17)))*11)/factor_trimestre," - ")</f>
        <v xml:space="preserve"> - </v>
      </c>
      <c r="AR12" s="921" t="str">
        <f>IF(ISNUMBER(Datos!CI12/Datos!CJ12),Datos!CI12/Datos!CJ12," - ")</f>
        <v xml:space="preserve"> - </v>
      </c>
      <c r="AS12" s="921" t="str">
        <f>IF(ISNUMBER(DatosP!CI17/DatosP!CJ17),DatosP!CI17/DatosP!CJ17," - ")</f>
        <v xml:space="preserve"> - </v>
      </c>
      <c r="AT12" s="921" t="str">
        <f>IF(ISNUMBER(((BB12-AB12+J12)/(F12-J12))),(BB12-AB12+J12)/(F12-J12)," - ")</f>
        <v xml:space="preserve"> - </v>
      </c>
      <c r="AU12" s="921" t="str">
        <f>IF(ISNUMBER((DatosP!DC17-DatosP!K17+DatosP!DF17)/(DatosP!L17+DatosP!K17-DatosP!J17-DatosP!DF17)),(DatosP!DC17-DatosP!K17+DatosP!DF17)/(DatosP!L17+DatosP!K17-DatosP!J17-DatosP!DF17)," - ")</f>
        <v xml:space="preserve"> - </v>
      </c>
      <c r="AV12" s="922" t="str">
        <f>IF(ISNUMBER((Datos!P12-Datos!Q12+Datos!DE12)/(Datos!R12-Datos!P12+Datos!Q12-Datos!DE12)),(Datos!P12-Datos!Q12+Datos!DE12)/(Datos!R12-Datos!P12+Datos!Q12-Datos!DE12)," - ")</f>
        <v xml:space="preserve"> - </v>
      </c>
      <c r="AW12" s="922" t="str">
        <f>IF(ISNUMBER((DatosP!P17-DatosP!Q17+DatosP!DE17)/(DatosP!R17-DatosP!P17+DatosP!Q17-DatosP!DE17)),(DatosP!P17-DatosP!Q17+DatosP!DE17)/(DatosP!R17-DatosP!P17+DatosP!Q17-DatosP!DE17)," - ")</f>
        <v xml:space="preserve"> - </v>
      </c>
      <c r="AX12" s="924">
        <f>IF(ISNUMBER(Datos!CW12+DatosP!CW17),Datos!CW12+DatosP!CW17," - ")</f>
        <v>0</v>
      </c>
      <c r="AY12" s="924">
        <f>Datos!CX12</f>
        <v>0</v>
      </c>
      <c r="AZ12" s="924">
        <f>DatosP!CX17</f>
        <v>0</v>
      </c>
      <c r="BA12" s="925">
        <f>Datos!DU12</f>
        <v>0</v>
      </c>
      <c r="BB12" s="551" t="str">
        <f>IF(ISNUMBER(Datos!DC12),Datos!DC12," - ")</f>
        <v xml:space="preserve"> - </v>
      </c>
      <c r="BC12" s="551" t="str">
        <f>IF(ISNUMBER(DatosP!DC17),DatosP!DC17," - ")</f>
        <v xml:space="preserve"> - </v>
      </c>
      <c r="BD12" s="908" t="str">
        <f>IF(ISNUMBER(AG12+AC12-DatosP!J17),AG12+AC12-DatosP!J17," - ")</f>
        <v xml:space="preserve"> - </v>
      </c>
      <c r="BE12" s="926"/>
      <c r="BF12" s="926"/>
      <c r="BG12" s="926"/>
      <c r="BH12" s="926"/>
      <c r="BI12" s="926"/>
      <c r="BJ12" s="926"/>
      <c r="BK12" s="926"/>
      <c r="BL12" s="926"/>
    </row>
    <row r="13" spans="1:64" s="859" customFormat="1" ht="15.75" thickBot="1">
      <c r="A13" s="749">
        <f>Datos!AO13</f>
        <v>0</v>
      </c>
      <c r="B13" s="750" t="s">
        <v>324</v>
      </c>
      <c r="C13" s="751" t="str">
        <f>Datos!A13</f>
        <v xml:space="preserve">Jdos. de Menores    </v>
      </c>
      <c r="D13" s="605"/>
      <c r="E13" s="907">
        <f>IF(ISNUMBER(Datos!AQ13),Datos!AQ13," - ")</f>
        <v>0</v>
      </c>
      <c r="F13" s="908" t="str">
        <f>IF(ISNUMBER(Datos!L13+Datos!K13-Datos!J13),Datos!L13+Datos!K13-Datos!J13," - ")</f>
        <v xml:space="preserve"> - </v>
      </c>
      <c r="G13" s="909" t="str">
        <f>IF(ISNUMBER(Datos!I13),Datos!I13," - ")</f>
        <v xml:space="preserve"> - </v>
      </c>
      <c r="H13" s="908"/>
      <c r="I13" s="910"/>
      <c r="J13" s="910">
        <f>IF(ISNUMBER(Datos!DF13),Datos!DF13,0)</f>
        <v>0</v>
      </c>
      <c r="K13" s="910"/>
      <c r="L13" s="907"/>
      <c r="M13" s="907"/>
      <c r="N13" s="910"/>
      <c r="O13" s="910"/>
      <c r="P13" s="910"/>
      <c r="Q13" s="911"/>
      <c r="R13" s="911"/>
      <c r="S13" s="910"/>
      <c r="T13" s="910"/>
      <c r="U13" s="912"/>
      <c r="V13" s="912"/>
      <c r="W13" s="910"/>
      <c r="X13" s="1373"/>
      <c r="Y13" s="1076"/>
      <c r="Z13" s="908"/>
      <c r="AA13" s="983"/>
      <c r="AB13" s="908"/>
      <c r="AC13" s="908"/>
      <c r="AD13" s="910"/>
      <c r="AE13" s="910"/>
      <c r="AF13" s="913" t="str">
        <f>IF(ISNUMBER(Datos!L13),Datos!L13,"-")</f>
        <v>-</v>
      </c>
      <c r="AG13" s="913"/>
      <c r="AH13" s="914"/>
      <c r="AI13" s="914"/>
      <c r="AJ13" s="914"/>
      <c r="AK13" s="915"/>
      <c r="AL13" s="908"/>
      <c r="AM13" s="917"/>
      <c r="AN13" s="917"/>
      <c r="AO13" s="918"/>
      <c r="AP13" s="920"/>
      <c r="AQ13" s="920"/>
      <c r="AR13" s="921"/>
      <c r="AS13" s="921"/>
      <c r="AT13" s="921"/>
      <c r="AU13" s="921"/>
      <c r="AV13" s="922"/>
      <c r="AW13" s="922"/>
      <c r="AX13" s="924"/>
      <c r="AY13" s="924"/>
      <c r="AZ13" s="924"/>
      <c r="BA13" s="925">
        <f>Datos!DU13</f>
        <v>0</v>
      </c>
      <c r="BB13" s="551"/>
      <c r="BC13" s="551"/>
      <c r="BD13" s="908"/>
      <c r="BE13" s="926"/>
      <c r="BF13" s="926"/>
      <c r="BG13" s="926"/>
      <c r="BH13" s="926"/>
      <c r="BI13" s="926"/>
      <c r="BJ13" s="926"/>
      <c r="BK13" s="926"/>
      <c r="BL13" s="926"/>
    </row>
    <row r="14" spans="1:64" ht="15.75" thickTop="1" thickBot="1">
      <c r="A14" s="938"/>
      <c r="B14" s="938"/>
      <c r="C14" s="1259" t="str">
        <f>Datos!A14</f>
        <v>TOTAL</v>
      </c>
      <c r="D14" s="1260"/>
      <c r="E14" s="1260">
        <f t="shared" ref="E14:V14" si="0">SUBTOTAL(9,E8:E13)</f>
        <v>24</v>
      </c>
      <c r="F14" s="1261">
        <f t="shared" si="0"/>
        <v>265</v>
      </c>
      <c r="G14" s="1261">
        <f t="shared" si="0"/>
        <v>260</v>
      </c>
      <c r="H14" s="1261">
        <f t="shared" si="0"/>
        <v>0</v>
      </c>
      <c r="I14" s="1263">
        <f t="shared" si="0"/>
        <v>0</v>
      </c>
      <c r="J14" s="1262">
        <f t="shared" si="0"/>
        <v>0</v>
      </c>
      <c r="K14" s="1262">
        <f t="shared" si="0"/>
        <v>0</v>
      </c>
      <c r="L14" s="1264">
        <f t="shared" si="0"/>
        <v>0</v>
      </c>
      <c r="M14" s="1264">
        <f t="shared" si="0"/>
        <v>0</v>
      </c>
      <c r="N14" s="1262">
        <f t="shared" si="0"/>
        <v>163</v>
      </c>
      <c r="O14" s="1262">
        <f t="shared" si="0"/>
        <v>0</v>
      </c>
      <c r="P14" s="1262">
        <f t="shared" si="0"/>
        <v>0</v>
      </c>
      <c r="Q14" s="1265">
        <f t="shared" si="0"/>
        <v>0</v>
      </c>
      <c r="R14" s="1265">
        <f t="shared" si="0"/>
        <v>0</v>
      </c>
      <c r="S14" s="1262">
        <f t="shared" si="0"/>
        <v>0</v>
      </c>
      <c r="T14" s="1262">
        <f t="shared" si="0"/>
        <v>0</v>
      </c>
      <c r="U14" s="1265">
        <f t="shared" si="0"/>
        <v>0</v>
      </c>
      <c r="V14" s="1265">
        <f t="shared" si="0"/>
        <v>0</v>
      </c>
      <c r="W14" s="1368">
        <v>0</v>
      </c>
      <c r="X14" s="1375">
        <v>0</v>
      </c>
      <c r="Y14" s="1264">
        <f>SUBTOTAL(9,Y8:Y13)</f>
        <v>0</v>
      </c>
      <c r="Z14" s="1262">
        <f>SUBTOTAL(9,Z8:Z13)</f>
        <v>0</v>
      </c>
      <c r="AA14" s="1266">
        <f>IF(ISNUMBER(AVERAGE(AA8:AA13)),AVERAGE(AA8:AA13),"-")</f>
        <v>0</v>
      </c>
      <c r="AB14" s="1262">
        <f t="shared" ref="AB14:AO14" si="1">SUBTOTAL(9,AB8:AB13)</f>
        <v>532</v>
      </c>
      <c r="AC14" s="1262">
        <f t="shared" si="1"/>
        <v>0</v>
      </c>
      <c r="AD14" s="1262">
        <f t="shared" si="1"/>
        <v>0</v>
      </c>
      <c r="AE14" s="1262">
        <f t="shared" si="1"/>
        <v>0</v>
      </c>
      <c r="AF14" s="1262">
        <f t="shared" si="1"/>
        <v>204</v>
      </c>
      <c r="AG14" s="1262">
        <f t="shared" si="1"/>
        <v>0</v>
      </c>
      <c r="AH14" s="1262">
        <f t="shared" si="1"/>
        <v>0</v>
      </c>
      <c r="AI14" s="1262">
        <f t="shared" si="1"/>
        <v>0</v>
      </c>
      <c r="AJ14" s="1262">
        <f t="shared" si="1"/>
        <v>0</v>
      </c>
      <c r="AK14" s="1262">
        <f t="shared" si="1"/>
        <v>0</v>
      </c>
      <c r="AL14" s="1262">
        <f t="shared" si="1"/>
        <v>207</v>
      </c>
      <c r="AM14" s="1262">
        <f t="shared" si="1"/>
        <v>247</v>
      </c>
      <c r="AN14" s="1262">
        <f t="shared" si="1"/>
        <v>0</v>
      </c>
      <c r="AO14" s="1262">
        <f t="shared" si="1"/>
        <v>0</v>
      </c>
      <c r="AP14" s="1267">
        <f>IF(ISNUMBER(((Datos!L14/Datos!K14)*11)/factor_trimestre),((Datos!L14/Datos!K14)*11)/factor_trimestre," - ")</f>
        <v>6.9767424834049194</v>
      </c>
      <c r="AQ14" s="1267" t="str">
        <f>IF(ISNUMBER(((DatosP!L14/DatosP!K14)*11)/factor_trimestre),((DatosP!L14/DatosP!K14)*11)/factor_trimestre," - ")</f>
        <v xml:space="preserve"> - </v>
      </c>
      <c r="AR14" s="1262" t="str">
        <f>IF(ISNUMBER(Datos!CI14/Datos!CJ14),Datos!CI14/Datos!CJ14," - ")</f>
        <v xml:space="preserve"> - </v>
      </c>
      <c r="AS14" s="1262" t="str">
        <f>IF(ISNUMBER(DatosP!CJ14/DatosP!CK14),DatosP!CJ14/DatosP!CK14," - ")</f>
        <v xml:space="preserve"> - </v>
      </c>
      <c r="AT14" s="1262">
        <f>IF(OR(ISNUMBER(FIND("04",Criterios!A8,1))),(BB14-AB14+J14)/(F14-J14),(H14-AB14+J14)/(F14-J14))</f>
        <v>-2.0075471698113208</v>
      </c>
      <c r="AU14" s="1262" t="str">
        <f>IF(ISNUMBER((DatosP!#REF!-DatosP!#REF!+DatosP!#REF!)/(DatosP!#REF!+DatosP!#REF!-DatosP!#REF!-DatosP!#REF!)),(DatosP!#REF!-DatosP!#REF!+DatosP!#REF!)/(DatosP!#REF!+DatosP!#REF!-DatosP!#REF!-DatosP!#REF!)," - ")</f>
        <v xml:space="preserve"> - </v>
      </c>
      <c r="AV14" s="1268">
        <f>SUBTOTAL(9,AV9:AV13)</f>
        <v>0</v>
      </c>
      <c r="AW14" s="1268">
        <f>SUBTOTAL(9,AW9:AW13)</f>
        <v>0</v>
      </c>
      <c r="AX14" s="1262">
        <f>SUBTOTAL(9,AX8:AX13)</f>
        <v>0</v>
      </c>
      <c r="AY14" s="1262"/>
      <c r="AZ14" s="1262"/>
      <c r="BA14" s="1262"/>
      <c r="BB14" s="247">
        <f>SUBTOTAL(9,BB8:BB13)</f>
        <v>0</v>
      </c>
      <c r="BC14" s="247">
        <f>SUBTOTAL(9,BC8:BC13)</f>
        <v>0</v>
      </c>
      <c r="BD14" s="939">
        <f>SUBTOTAL(9,BD8:BD13)</f>
        <v>0</v>
      </c>
      <c r="BE14" s="940"/>
      <c r="BF14" s="940"/>
      <c r="BG14" s="940"/>
      <c r="BH14" s="940"/>
      <c r="BI14" s="940"/>
      <c r="BJ14" s="940"/>
      <c r="BK14" s="940"/>
      <c r="BL14" s="940"/>
    </row>
    <row r="15" spans="1:64" ht="15" thickTop="1">
      <c r="A15" s="608"/>
      <c r="B15" s="608"/>
      <c r="C15" s="311" t="str">
        <f>Datos!A15</f>
        <v xml:space="preserve">Jurisdicción Penal ( 2 ):                      </v>
      </c>
      <c r="D15" s="610"/>
      <c r="E15" s="941"/>
      <c r="F15" s="942"/>
      <c r="G15" s="943"/>
      <c r="H15" s="945"/>
      <c r="I15" s="890"/>
      <c r="J15" s="944"/>
      <c r="K15" s="944"/>
      <c r="L15" s="944"/>
      <c r="M15" s="944"/>
      <c r="N15" s="927"/>
      <c r="O15" s="927"/>
      <c r="P15" s="927"/>
      <c r="Q15" s="946"/>
      <c r="R15" s="946"/>
      <c r="S15" s="927"/>
      <c r="T15" s="927"/>
      <c r="U15" s="928"/>
      <c r="V15" s="928"/>
      <c r="W15" s="927"/>
      <c r="X15" s="1374"/>
      <c r="Y15" s="1071"/>
      <c r="Z15" s="929"/>
      <c r="AA15" s="947"/>
      <c r="AB15" s="929"/>
      <c r="AC15" s="929"/>
      <c r="AD15" s="927"/>
      <c r="AE15" s="927"/>
      <c r="AF15" s="945"/>
      <c r="AG15" s="945"/>
      <c r="AH15" s="931"/>
      <c r="AI15" s="931"/>
      <c r="AJ15" s="930"/>
      <c r="AK15" s="897"/>
      <c r="AL15" s="929"/>
      <c r="AM15" s="932"/>
      <c r="AN15" s="932"/>
      <c r="AO15" s="933"/>
      <c r="AP15" s="920"/>
      <c r="AQ15" s="920"/>
      <c r="AR15" s="935"/>
      <c r="AS15" s="935"/>
      <c r="AT15" s="935"/>
      <c r="AU15" s="935"/>
      <c r="AV15" s="948"/>
      <c r="AW15" s="948"/>
      <c r="AX15" s="936"/>
      <c r="AY15" s="936"/>
      <c r="AZ15" s="936"/>
      <c r="BA15" s="937"/>
      <c r="BB15" s="231"/>
      <c r="BC15" s="231"/>
      <c r="BD15" s="942"/>
      <c r="BE15" s="951"/>
      <c r="BF15" s="951"/>
      <c r="BG15" s="951"/>
      <c r="BH15" s="951"/>
      <c r="BI15" s="951"/>
      <c r="BJ15" s="951"/>
      <c r="BK15" s="951"/>
      <c r="BL15" s="951"/>
    </row>
    <row r="16" spans="1:64" s="960" customFormat="1" ht="14.25">
      <c r="A16" s="740">
        <f>Datos!AO16</f>
        <v>14</v>
      </c>
      <c r="B16" s="741" t="s">
        <v>515</v>
      </c>
      <c r="C16" s="754" t="str">
        <f>Datos!A16</f>
        <v xml:space="preserve">Jdos. Instrucción                               </v>
      </c>
      <c r="D16" s="755"/>
      <c r="E16" s="952"/>
      <c r="F16" s="953"/>
      <c r="G16" s="954"/>
      <c r="H16" s="953"/>
      <c r="I16" s="927"/>
      <c r="J16" s="955"/>
      <c r="K16" s="955"/>
      <c r="L16" s="956"/>
      <c r="M16" s="956"/>
      <c r="N16" s="927"/>
      <c r="O16" s="927"/>
      <c r="P16" s="927"/>
      <c r="Q16" s="957"/>
      <c r="R16" s="957"/>
      <c r="S16" s="927"/>
      <c r="T16" s="927"/>
      <c r="U16" s="928"/>
      <c r="V16" s="928"/>
      <c r="W16" s="927"/>
      <c r="X16" s="1374"/>
      <c r="Y16" s="1077"/>
      <c r="Z16" s="929"/>
      <c r="AA16" s="947"/>
      <c r="AB16" s="929"/>
      <c r="AC16" s="929"/>
      <c r="AD16" s="927"/>
      <c r="AE16" s="927"/>
      <c r="AF16" s="958"/>
      <c r="AG16" s="958"/>
      <c r="AH16" s="931"/>
      <c r="AI16" s="931"/>
      <c r="AJ16" s="930"/>
      <c r="AK16" s="897"/>
      <c r="AL16" s="929"/>
      <c r="AM16" s="932"/>
      <c r="AN16" s="932"/>
      <c r="AO16" s="933"/>
      <c r="AP16" s="920"/>
      <c r="AQ16" s="920"/>
      <c r="AR16" s="935"/>
      <c r="AS16" s="935"/>
      <c r="AT16" s="935"/>
      <c r="AU16" s="935"/>
      <c r="AV16" s="948"/>
      <c r="AW16" s="948"/>
      <c r="AX16" s="936"/>
      <c r="AY16" s="936"/>
      <c r="AZ16" s="936"/>
      <c r="BA16" s="937"/>
      <c r="BB16" s="240"/>
      <c r="BC16" s="240"/>
      <c r="BD16" s="953"/>
      <c r="BE16" s="961"/>
      <c r="BF16" s="961"/>
      <c r="BG16" s="961"/>
      <c r="BH16" s="961"/>
      <c r="BI16" s="961"/>
      <c r="BJ16" s="961"/>
      <c r="BK16" s="961"/>
      <c r="BL16" s="961"/>
    </row>
    <row r="17" spans="1:64" s="859" customFormat="1" ht="15">
      <c r="A17" s="749">
        <f>Datos!AO17</f>
        <v>0</v>
      </c>
      <c r="B17" s="750" t="s">
        <v>515</v>
      </c>
      <c r="C17" s="770" t="str">
        <f>Datos!A17</f>
        <v xml:space="preserve">Jdos. 1ª Instª. e Instr.                        </v>
      </c>
      <c r="D17" s="597"/>
      <c r="E17" s="924"/>
      <c r="F17" s="908"/>
      <c r="G17" s="909"/>
      <c r="H17" s="908"/>
      <c r="I17" s="910"/>
      <c r="J17" s="910"/>
      <c r="K17" s="910"/>
      <c r="L17" s="907"/>
      <c r="M17" s="907"/>
      <c r="N17" s="910"/>
      <c r="O17" s="910"/>
      <c r="P17" s="910"/>
      <c r="Q17" s="911"/>
      <c r="R17" s="911"/>
      <c r="S17" s="910" t="str">
        <f>IF(ISNUMBER(Datos!AS17*(2500/380)+DatosP!#REF!),Datos!AS17*(2500/380)+DatosP!#REF!," - ")</f>
        <v xml:space="preserve"> - </v>
      </c>
      <c r="T17" s="910"/>
      <c r="U17" s="912" t="str">
        <f>IF(ISNUMBER(S17/((Datos!BM17+DatosP!#REF!)/factor_trimestre)),S17/((Datos!BM17+DatosP!#REF!)/factor_trimestre)," - ")</f>
        <v xml:space="preserve"> - </v>
      </c>
      <c r="V17" s="912"/>
      <c r="W17" s="910"/>
      <c r="X17" s="1373"/>
      <c r="Y17" s="1075"/>
      <c r="Z17" s="908"/>
      <c r="AA17" s="983"/>
      <c r="AB17" s="908"/>
      <c r="AC17" s="908"/>
      <c r="AD17" s="910"/>
      <c r="AE17" s="910"/>
      <c r="AF17" s="913"/>
      <c r="AG17" s="913"/>
      <c r="AH17" s="914"/>
      <c r="AI17" s="914"/>
      <c r="AJ17" s="907"/>
      <c r="AK17" s="915"/>
      <c r="AL17" s="908"/>
      <c r="AM17" s="917"/>
      <c r="AN17" s="917"/>
      <c r="AO17" s="918"/>
      <c r="AP17" s="920"/>
      <c r="AQ17" s="920"/>
      <c r="AR17" s="921"/>
      <c r="AS17" s="921"/>
      <c r="AT17" s="921"/>
      <c r="AU17" s="921"/>
      <c r="AV17" s="922"/>
      <c r="AW17" s="922"/>
      <c r="AX17" s="924"/>
      <c r="AY17" s="924"/>
      <c r="AZ17" s="924"/>
      <c r="BA17" s="925"/>
      <c r="BB17" s="240"/>
      <c r="BC17" s="240"/>
      <c r="BD17" s="908"/>
      <c r="BE17" s="926"/>
      <c r="BF17" s="926"/>
      <c r="BG17" s="926"/>
      <c r="BH17" s="926"/>
      <c r="BI17" s="926"/>
      <c r="BJ17" s="926"/>
      <c r="BK17" s="926"/>
      <c r="BL17" s="926"/>
    </row>
    <row r="18" spans="1:64" s="859" customFormat="1" ht="14.25">
      <c r="A18" s="749">
        <f>Datos!AO18</f>
        <v>3</v>
      </c>
      <c r="B18" s="750" t="s">
        <v>515</v>
      </c>
      <c r="C18" s="751" t="str">
        <f>Datos!A18</f>
        <v>Jdos. Violencia contra la mujer</v>
      </c>
      <c r="D18" s="605"/>
      <c r="E18" s="924"/>
      <c r="F18" s="908"/>
      <c r="G18" s="909"/>
      <c r="H18" s="908"/>
      <c r="I18" s="910"/>
      <c r="J18" s="910"/>
      <c r="K18" s="910"/>
      <c r="L18" s="907"/>
      <c r="M18" s="907"/>
      <c r="N18" s="910"/>
      <c r="O18" s="927"/>
      <c r="P18" s="910"/>
      <c r="Q18" s="911"/>
      <c r="R18" s="911"/>
      <c r="S18" s="910"/>
      <c r="T18" s="910"/>
      <c r="U18" s="912"/>
      <c r="V18" s="912"/>
      <c r="W18" s="910"/>
      <c r="X18" s="1373"/>
      <c r="Y18" s="1075"/>
      <c r="Z18" s="908"/>
      <c r="AA18" s="983"/>
      <c r="AB18" s="908"/>
      <c r="AC18" s="908"/>
      <c r="AD18" s="910"/>
      <c r="AE18" s="910"/>
      <c r="AF18" s="913"/>
      <c r="AG18" s="913"/>
      <c r="AH18" s="914"/>
      <c r="AI18" s="914"/>
      <c r="AJ18" s="907"/>
      <c r="AK18" s="915"/>
      <c r="AL18" s="908"/>
      <c r="AM18" s="917"/>
      <c r="AN18" s="917"/>
      <c r="AO18" s="918"/>
      <c r="AP18" s="920"/>
      <c r="AQ18" s="920"/>
      <c r="AR18" s="921"/>
      <c r="AS18" s="921"/>
      <c r="AT18" s="921"/>
      <c r="AU18" s="921"/>
      <c r="AV18" s="922"/>
      <c r="AW18" s="922"/>
      <c r="AX18" s="924"/>
      <c r="AY18" s="924"/>
      <c r="AZ18" s="936"/>
      <c r="BA18" s="925"/>
      <c r="BB18" s="551"/>
      <c r="BC18" s="551"/>
      <c r="BD18" s="908"/>
      <c r="BE18" s="926"/>
      <c r="BF18" s="926"/>
      <c r="BG18" s="926"/>
      <c r="BH18" s="926"/>
      <c r="BI18" s="926"/>
      <c r="BJ18" s="926"/>
      <c r="BK18" s="926"/>
      <c r="BL18" s="926"/>
    </row>
    <row r="19" spans="1:64" s="859" customFormat="1" ht="14.25">
      <c r="A19" s="749">
        <f>Datos!AO19</f>
        <v>0</v>
      </c>
      <c r="B19" s="750" t="s">
        <v>515</v>
      </c>
      <c r="C19" s="751" t="str">
        <f>Datos!A19</f>
        <v xml:space="preserve">Jdos. de Menores                                </v>
      </c>
      <c r="D19" s="605"/>
      <c r="E19" s="924"/>
      <c r="F19" s="908"/>
      <c r="G19" s="909"/>
      <c r="H19" s="908"/>
      <c r="I19" s="927"/>
      <c r="J19" s="910"/>
      <c r="K19" s="910"/>
      <c r="L19" s="907"/>
      <c r="M19" s="907"/>
      <c r="N19" s="910"/>
      <c r="O19" s="927"/>
      <c r="P19" s="927"/>
      <c r="Q19" s="911"/>
      <c r="R19" s="911"/>
      <c r="S19" s="927"/>
      <c r="T19" s="927"/>
      <c r="U19" s="912"/>
      <c r="V19" s="912"/>
      <c r="W19" s="927"/>
      <c r="X19" s="1374"/>
      <c r="Y19" s="1077"/>
      <c r="Z19" s="908"/>
      <c r="AA19" s="983"/>
      <c r="AB19" s="908"/>
      <c r="AC19" s="908"/>
      <c r="AD19" s="910"/>
      <c r="AE19" s="910"/>
      <c r="AF19" s="913"/>
      <c r="AG19" s="913"/>
      <c r="AH19" s="914"/>
      <c r="AI19" s="914"/>
      <c r="AJ19" s="907"/>
      <c r="AK19" s="915"/>
      <c r="AL19" s="908"/>
      <c r="AM19" s="917"/>
      <c r="AN19" s="917"/>
      <c r="AO19" s="918"/>
      <c r="AP19" s="920"/>
      <c r="AQ19" s="920"/>
      <c r="AR19" s="921"/>
      <c r="AS19" s="921"/>
      <c r="AT19" s="921"/>
      <c r="AU19" s="921"/>
      <c r="AV19" s="922"/>
      <c r="AW19" s="922"/>
      <c r="AX19" s="924"/>
      <c r="AY19" s="924"/>
      <c r="AZ19" s="936"/>
      <c r="BA19" s="925"/>
      <c r="BB19" s="240"/>
      <c r="BC19" s="240"/>
      <c r="BD19" s="908"/>
      <c r="BE19" s="926"/>
      <c r="BF19" s="926"/>
      <c r="BG19" s="926"/>
      <c r="BH19" s="926"/>
      <c r="BI19" s="926"/>
      <c r="BJ19" s="926"/>
      <c r="BK19" s="926"/>
      <c r="BL19" s="926"/>
    </row>
    <row r="20" spans="1:64" s="960" customFormat="1" ht="14.25">
      <c r="A20" s="740">
        <f>Datos!AO20</f>
        <v>0</v>
      </c>
      <c r="B20" s="741" t="s">
        <v>515</v>
      </c>
      <c r="C20" s="742" t="str">
        <f>Datos!A20</f>
        <v xml:space="preserve">Jdos. Vigilancia Penitenciaria                  </v>
      </c>
      <c r="D20" s="743"/>
      <c r="E20" s="952"/>
      <c r="F20" s="953"/>
      <c r="G20" s="954"/>
      <c r="H20" s="953"/>
      <c r="I20" s="910"/>
      <c r="J20" s="955"/>
      <c r="K20" s="955"/>
      <c r="L20" s="956"/>
      <c r="N20" s="927"/>
      <c r="O20" s="927"/>
      <c r="P20" s="927"/>
      <c r="Q20" s="957"/>
      <c r="R20" s="957"/>
      <c r="S20" s="927"/>
      <c r="T20" s="927"/>
      <c r="U20" s="928"/>
      <c r="V20" s="928"/>
      <c r="W20" s="927"/>
      <c r="X20" s="1374"/>
      <c r="Y20" s="1077"/>
      <c r="Z20" s="929"/>
      <c r="AA20" s="947"/>
      <c r="AB20" s="929"/>
      <c r="AC20" s="929"/>
      <c r="AD20" s="910"/>
      <c r="AE20" s="910"/>
      <c r="AF20" s="958"/>
      <c r="AG20" s="958"/>
      <c r="AH20" s="914"/>
      <c r="AI20" s="914"/>
      <c r="AJ20" s="930"/>
      <c r="AK20" s="897"/>
      <c r="AL20" s="929"/>
      <c r="AM20" s="932"/>
      <c r="AN20" s="932"/>
      <c r="AO20" s="933"/>
      <c r="AP20" s="920"/>
      <c r="AQ20" s="920"/>
      <c r="AR20" s="935"/>
      <c r="AS20" s="935"/>
      <c r="AT20" s="935"/>
      <c r="AU20" s="935"/>
      <c r="AV20" s="948"/>
      <c r="AW20" s="948"/>
      <c r="AX20" s="936"/>
      <c r="AY20" s="936"/>
      <c r="AZ20" s="936"/>
      <c r="BA20" s="937"/>
      <c r="BB20" s="551"/>
      <c r="BC20" s="551"/>
      <c r="BD20" s="953"/>
      <c r="BE20" s="961"/>
      <c r="BF20" s="961"/>
      <c r="BG20" s="961"/>
      <c r="BH20" s="961"/>
      <c r="BI20" s="961"/>
      <c r="BJ20" s="961"/>
      <c r="BK20" s="961"/>
      <c r="BL20" s="961"/>
    </row>
    <row r="21" spans="1:64" s="859" customFormat="1" ht="14.25">
      <c r="A21" s="749">
        <f>Datos!AO21</f>
        <v>0</v>
      </c>
      <c r="B21" s="750" t="s">
        <v>515</v>
      </c>
      <c r="C21" s="751" t="str">
        <f>Datos!A21</f>
        <v xml:space="preserve">Jdos. de lo Penal                               </v>
      </c>
      <c r="D21" s="605"/>
      <c r="E21" s="924"/>
      <c r="F21" s="908"/>
      <c r="G21" s="909"/>
      <c r="H21" s="929"/>
      <c r="I21" s="927"/>
      <c r="J21" s="910"/>
      <c r="K21" s="910"/>
      <c r="L21" s="907"/>
      <c r="M21" s="907"/>
      <c r="N21" s="910"/>
      <c r="O21" s="927"/>
      <c r="P21" s="927"/>
      <c r="Q21" s="911"/>
      <c r="R21" s="911"/>
      <c r="S21" s="927"/>
      <c r="T21" s="927"/>
      <c r="U21" s="912"/>
      <c r="V21" s="912"/>
      <c r="W21" s="927"/>
      <c r="X21" s="1374"/>
      <c r="Y21" s="1077"/>
      <c r="Z21" s="908"/>
      <c r="AA21" s="983"/>
      <c r="AB21" s="908"/>
      <c r="AC21" s="908"/>
      <c r="AD21" s="910"/>
      <c r="AE21" s="910"/>
      <c r="AF21" s="913"/>
      <c r="AG21" s="913"/>
      <c r="AH21" s="914"/>
      <c r="AI21" s="914"/>
      <c r="AJ21" s="907"/>
      <c r="AK21" s="915"/>
      <c r="AL21" s="908"/>
      <c r="AM21" s="917"/>
      <c r="AN21" s="917"/>
      <c r="AO21" s="918"/>
      <c r="AP21" s="920"/>
      <c r="AQ21" s="920"/>
      <c r="AR21" s="921"/>
      <c r="AS21" s="921"/>
      <c r="AT21" s="921"/>
      <c r="AU21" s="921"/>
      <c r="AV21" s="922"/>
      <c r="AW21" s="922"/>
      <c r="AX21" s="924"/>
      <c r="AY21" s="924"/>
      <c r="AZ21" s="936"/>
      <c r="BA21" s="925"/>
      <c r="BB21" s="240"/>
      <c r="BC21" s="240"/>
      <c r="BD21" s="908"/>
      <c r="BE21" s="926"/>
      <c r="BF21" s="926"/>
      <c r="BG21" s="926"/>
      <c r="BH21" s="926"/>
      <c r="BI21" s="926"/>
      <c r="BJ21" s="926"/>
      <c r="BK21" s="926"/>
      <c r="BL21" s="926"/>
    </row>
    <row r="22" spans="1:64" s="859" customFormat="1" ht="15" thickBot="1">
      <c r="A22" s="749">
        <f>Datos!AO22</f>
        <v>0</v>
      </c>
      <c r="B22" s="750" t="s">
        <v>515</v>
      </c>
      <c r="C22" s="751" t="str">
        <f>Datos!A22</f>
        <v xml:space="preserve">Jdos. de lo Penal de Ejecutorias                </v>
      </c>
      <c r="D22" s="605"/>
      <c r="E22" s="924"/>
      <c r="F22" s="908"/>
      <c r="G22" s="909"/>
      <c r="H22" s="908"/>
      <c r="I22" s="910"/>
      <c r="J22" s="910"/>
      <c r="K22" s="910"/>
      <c r="L22" s="907"/>
      <c r="M22" s="907"/>
      <c r="N22" s="910"/>
      <c r="O22" s="927"/>
      <c r="P22" s="910"/>
      <c r="Q22" s="911"/>
      <c r="R22" s="911"/>
      <c r="S22" s="910"/>
      <c r="T22" s="910"/>
      <c r="U22" s="912"/>
      <c r="V22" s="912"/>
      <c r="W22" s="910"/>
      <c r="X22" s="1373"/>
      <c r="Y22" s="1077"/>
      <c r="Z22" s="908"/>
      <c r="AA22" s="983"/>
      <c r="AB22" s="908"/>
      <c r="AC22" s="908"/>
      <c r="AD22" s="910"/>
      <c r="AE22" s="910"/>
      <c r="AF22" s="913"/>
      <c r="AG22" s="913"/>
      <c r="AH22" s="914"/>
      <c r="AI22" s="914"/>
      <c r="AJ22" s="907"/>
      <c r="AK22" s="915"/>
      <c r="AL22" s="908"/>
      <c r="AM22" s="917"/>
      <c r="AN22" s="917"/>
      <c r="AO22" s="918"/>
      <c r="AP22" s="920"/>
      <c r="AQ22" s="920"/>
      <c r="AR22" s="921"/>
      <c r="AS22" s="921"/>
      <c r="AT22" s="921"/>
      <c r="AU22" s="921"/>
      <c r="AV22" s="922"/>
      <c r="AW22" s="922"/>
      <c r="AX22" s="924"/>
      <c r="AY22" s="924"/>
      <c r="AZ22" s="936"/>
      <c r="BA22" s="925"/>
      <c r="BB22" s="551"/>
      <c r="BC22" s="551"/>
      <c r="BD22" s="908"/>
      <c r="BE22" s="926"/>
      <c r="BF22" s="926"/>
      <c r="BG22" s="926"/>
      <c r="BH22" s="926"/>
      <c r="BI22" s="926"/>
      <c r="BJ22" s="926"/>
      <c r="BK22" s="926"/>
      <c r="BL22" s="926"/>
    </row>
    <row r="23" spans="1:64" ht="15.75" thickTop="1" thickBot="1">
      <c r="A23" s="938"/>
      <c r="B23" s="938"/>
      <c r="C23" s="1259" t="str">
        <f>Datos!A23</f>
        <v>TOTAL</v>
      </c>
      <c r="D23" s="1260"/>
      <c r="E23" s="1260">
        <f>SUBTOTAL(9,E16:E22)</f>
        <v>0</v>
      </c>
      <c r="F23" s="1261">
        <f>SUBTOTAL(9,F16:F22)</f>
        <v>0</v>
      </c>
      <c r="G23" s="1261">
        <f>SUBTOTAL(9,G16:G22)</f>
        <v>0</v>
      </c>
      <c r="H23" s="1261">
        <f>SUBTOTAL(9,H16:H22)</f>
        <v>0</v>
      </c>
      <c r="I23" s="1263">
        <f>SUBTOTAL(9,I15:I22)</f>
        <v>0</v>
      </c>
      <c r="J23" s="1262">
        <f t="shared" ref="J23:V23" si="2">SUBTOTAL(9,J16:J22)</f>
        <v>0</v>
      </c>
      <c r="K23" s="1262">
        <f t="shared" si="2"/>
        <v>0</v>
      </c>
      <c r="L23" s="1264">
        <f t="shared" si="2"/>
        <v>0</v>
      </c>
      <c r="M23" s="1264">
        <f t="shared" si="2"/>
        <v>0</v>
      </c>
      <c r="N23" s="1262">
        <f t="shared" si="2"/>
        <v>0</v>
      </c>
      <c r="O23" s="1262">
        <f t="shared" si="2"/>
        <v>0</v>
      </c>
      <c r="P23" s="1262">
        <f t="shared" si="2"/>
        <v>0</v>
      </c>
      <c r="Q23" s="1265">
        <f t="shared" si="2"/>
        <v>0</v>
      </c>
      <c r="R23" s="1265">
        <f t="shared" si="2"/>
        <v>0</v>
      </c>
      <c r="S23" s="1262">
        <f t="shared" si="2"/>
        <v>0</v>
      </c>
      <c r="T23" s="1262">
        <f t="shared" si="2"/>
        <v>0</v>
      </c>
      <c r="U23" s="1265">
        <f t="shared" si="2"/>
        <v>0</v>
      </c>
      <c r="V23" s="1265">
        <f t="shared" si="2"/>
        <v>0</v>
      </c>
      <c r="W23" s="1368">
        <v>0</v>
      </c>
      <c r="X23" s="1375">
        <v>0</v>
      </c>
      <c r="Y23" s="1264">
        <f>SUBTOTAL(9,Y16:Y22)</f>
        <v>0</v>
      </c>
      <c r="Z23" s="1262">
        <f>SUBTOTAL(9,Z16:Z22)</f>
        <v>0</v>
      </c>
      <c r="AA23" s="1266" t="str">
        <f>IF(ISNUMBER((Z23*factor_trimestre)/Datos!CN23),(Z23*factor_trimestre)/Datos!CN23,"-")</f>
        <v>-</v>
      </c>
      <c r="AB23" s="1262">
        <f t="shared" ref="AB23:AO23" si="3">SUBTOTAL(9,AB16:AB22)</f>
        <v>0</v>
      </c>
      <c r="AC23" s="1262">
        <f t="shared" si="3"/>
        <v>0</v>
      </c>
      <c r="AD23" s="1262">
        <f t="shared" si="3"/>
        <v>0</v>
      </c>
      <c r="AE23" s="1262">
        <f t="shared" si="3"/>
        <v>0</v>
      </c>
      <c r="AF23" s="1262">
        <f t="shared" si="3"/>
        <v>0</v>
      </c>
      <c r="AG23" s="1262">
        <f t="shared" si="3"/>
        <v>0</v>
      </c>
      <c r="AH23" s="1262">
        <f t="shared" si="3"/>
        <v>0</v>
      </c>
      <c r="AI23" s="1262">
        <f t="shared" si="3"/>
        <v>0</v>
      </c>
      <c r="AJ23" s="1262">
        <f t="shared" si="3"/>
        <v>0</v>
      </c>
      <c r="AK23" s="1262">
        <f t="shared" si="3"/>
        <v>0</v>
      </c>
      <c r="AL23" s="1262">
        <f t="shared" si="3"/>
        <v>0</v>
      </c>
      <c r="AM23" s="1262">
        <f t="shared" si="3"/>
        <v>0</v>
      </c>
      <c r="AN23" s="1262">
        <f t="shared" si="3"/>
        <v>0</v>
      </c>
      <c r="AO23" s="1262">
        <f t="shared" si="3"/>
        <v>0</v>
      </c>
      <c r="AP23" s="1267">
        <f>IF(ISNUMBER(((Datos!L23/Datos!K23)*11)/factor_trimestre),((Datos!L23/Datos!K23)*11)/factor_trimestre," - ")</f>
        <v>0.82041852612843702</v>
      </c>
      <c r="AQ23" s="1267">
        <f>IF(ISNUMBER(((Datos!M23/Datos!L23)*11)/factor_trimestre),((Datos!M23/Datos!L23)*11)/factor_trimestre," - ")</f>
        <v>11.407264432356554</v>
      </c>
      <c r="AR23" s="1262">
        <f>SUBTOTAL(9,AR16:AR22)</f>
        <v>0</v>
      </c>
      <c r="AS23" s="1262">
        <f>SUBTOTAL(9,AS16:AS22)</f>
        <v>0</v>
      </c>
      <c r="AT23" s="1268" t="str">
        <f>IF(ISNUMBER((H23-AB23+K23)/(F23-K23)),(H23-AB23+K23)/(F23-K23)," - ")</f>
        <v xml:space="preserve"> - </v>
      </c>
      <c r="AU23" s="1268" t="str">
        <f>IF(ISNUMBER((I23-AC23+L23)/(G23-L23)),(I23-AC23+L23)/(G23-L23)," - ")</f>
        <v xml:space="preserve"> - </v>
      </c>
      <c r="AV23" s="1270">
        <f>IF(ISNUMBER((Datos!P23-Datos!Q23)/(Datos!R23-Datos!P23+Datos!Q23)),(Datos!P23-Datos!Q23)/(Datos!R23-Datos!P23+Datos!Q23)," - ")</f>
        <v>-8.8028169014084509E-4</v>
      </c>
      <c r="AW23" s="1270">
        <f>IF(ISNUMBER((Datos!Q23-Datos!R23)/(Datos!S23-Datos!Q23+Datos!R23)),(Datos!Q23-Datos!R23)/(Datos!S23-Datos!Q23+Datos!R23)," - ")</f>
        <v>0.20027560863573726</v>
      </c>
      <c r="AX23" s="1262">
        <f>SUBTOTAL(9,AX16:AX22)</f>
        <v>0</v>
      </c>
      <c r="AY23" s="1262"/>
      <c r="AZ23" s="1262"/>
      <c r="BA23" s="1271"/>
      <c r="BB23" s="247">
        <f>SUBTOTAL(9,BB15:BB22)</f>
        <v>0</v>
      </c>
      <c r="BC23" s="247">
        <f>SUBTOTAL(9,BC15:BC22)</f>
        <v>0</v>
      </c>
      <c r="BD23" s="939">
        <f>SUBTOTAL(9,BD16:BD22)</f>
        <v>0</v>
      </c>
      <c r="BE23" s="940"/>
      <c r="BF23" s="940"/>
      <c r="BG23" s="940"/>
      <c r="BH23" s="940"/>
      <c r="BI23" s="940"/>
      <c r="BJ23" s="940"/>
      <c r="BK23" s="940"/>
      <c r="BL23" s="940"/>
    </row>
    <row r="24" spans="1:64" ht="15" thickTop="1">
      <c r="A24" s="608"/>
      <c r="B24" s="608"/>
      <c r="C24" s="73" t="str">
        <f>Datos!A24</f>
        <v xml:space="preserve">Jurisdicción Cont.-Admva.:                      </v>
      </c>
      <c r="D24" s="620"/>
      <c r="E24" s="964"/>
      <c r="F24" s="942"/>
      <c r="G24" s="965"/>
      <c r="H24" s="945"/>
      <c r="I24" s="890"/>
      <c r="J24" s="944"/>
      <c r="K24" s="944"/>
      <c r="L24" s="944"/>
      <c r="M24" s="944"/>
      <c r="N24" s="944"/>
      <c r="O24" s="944"/>
      <c r="P24" s="944"/>
      <c r="Q24" s="946"/>
      <c r="R24" s="946"/>
      <c r="S24" s="927"/>
      <c r="T24" s="927"/>
      <c r="U24" s="946"/>
      <c r="V24" s="946"/>
      <c r="W24" s="927"/>
      <c r="X24" s="1374"/>
      <c r="Y24" s="944"/>
      <c r="Z24" s="966"/>
      <c r="AA24" s="967"/>
      <c r="AB24" s="945"/>
      <c r="AC24" s="945"/>
      <c r="AD24" s="944"/>
      <c r="AE24" s="944"/>
      <c r="AF24" s="945"/>
      <c r="AG24" s="945"/>
      <c r="AH24" s="944"/>
      <c r="AI24" s="944"/>
      <c r="AJ24" s="968"/>
      <c r="AK24" s="971"/>
      <c r="AL24" s="942"/>
      <c r="AM24" s="974"/>
      <c r="AN24" s="974"/>
      <c r="AO24" s="975"/>
      <c r="AP24" s="1065"/>
      <c r="AQ24" s="1065"/>
      <c r="AR24" s="977"/>
      <c r="AS24" s="977"/>
      <c r="AT24" s="977"/>
      <c r="AU24" s="977"/>
      <c r="AV24" s="978"/>
      <c r="AW24" s="978"/>
      <c r="AX24" s="977"/>
      <c r="AY24" s="980"/>
      <c r="AZ24" s="980"/>
      <c r="BA24" s="981"/>
      <c r="BB24" s="231"/>
      <c r="BC24" s="231"/>
      <c r="BD24" s="942"/>
      <c r="BE24" s="951"/>
      <c r="BF24" s="951"/>
      <c r="BG24" s="951"/>
      <c r="BH24" s="951"/>
      <c r="BI24" s="951"/>
      <c r="BJ24" s="951"/>
      <c r="BK24" s="951"/>
      <c r="BL24" s="951"/>
    </row>
    <row r="25" spans="1:64" ht="15" thickBot="1">
      <c r="A25" s="596" t="s">
        <v>778</v>
      </c>
      <c r="B25" s="604" t="s">
        <v>516</v>
      </c>
      <c r="C25" s="7" t="str">
        <f>Datos!A25</f>
        <v xml:space="preserve">Jdos Cont.-Admvo.                               </v>
      </c>
      <c r="D25" s="907"/>
      <c r="E25" s="924"/>
      <c r="F25" s="929"/>
      <c r="G25" s="909"/>
      <c r="H25" s="929"/>
      <c r="I25" s="927"/>
      <c r="J25" s="927"/>
      <c r="K25" s="927"/>
      <c r="L25" s="907"/>
      <c r="M25" s="907"/>
      <c r="N25" s="927"/>
      <c r="O25" s="927"/>
      <c r="P25" s="927"/>
      <c r="Q25" s="982"/>
      <c r="R25" s="982"/>
      <c r="S25" s="927"/>
      <c r="T25" s="927"/>
      <c r="U25" s="928"/>
      <c r="V25" s="928"/>
      <c r="W25" s="927"/>
      <c r="X25" s="1374"/>
      <c r="Y25" s="1077"/>
      <c r="Z25" s="929"/>
      <c r="AA25" s="947"/>
      <c r="AB25" s="929"/>
      <c r="AC25" s="929"/>
      <c r="AD25" s="927"/>
      <c r="AE25" s="927"/>
      <c r="AF25" s="984"/>
      <c r="AG25" s="984"/>
      <c r="AH25" s="931"/>
      <c r="AI25" s="931"/>
      <c r="AJ25" s="932"/>
      <c r="AK25" s="908"/>
      <c r="AL25" s="929"/>
      <c r="AM25" s="929"/>
      <c r="AN25" s="985"/>
      <c r="AO25" s="986"/>
      <c r="AP25" s="920"/>
      <c r="AQ25" s="920"/>
      <c r="AR25" s="935"/>
      <c r="AS25" s="935"/>
      <c r="AT25" s="921"/>
      <c r="AU25" s="921"/>
      <c r="AV25" s="948"/>
      <c r="AW25" s="948"/>
      <c r="AX25" s="936"/>
      <c r="AY25" s="988"/>
      <c r="AZ25" s="988"/>
      <c r="BA25" s="925"/>
      <c r="BB25" s="240"/>
      <c r="BC25" s="240"/>
      <c r="BD25" s="929"/>
      <c r="BE25" s="989"/>
      <c r="BF25" s="989"/>
      <c r="BG25" s="989"/>
      <c r="BH25" s="989"/>
      <c r="BI25" s="989"/>
      <c r="BJ25" s="989"/>
      <c r="BK25" s="989"/>
      <c r="BL25" s="989"/>
    </row>
    <row r="26" spans="1:64" ht="15.75" thickTop="1" thickBot="1">
      <c r="A26" s="938"/>
      <c r="B26" s="938"/>
      <c r="C26" s="1259" t="str">
        <f>Datos!A26</f>
        <v>TOTAL</v>
      </c>
      <c r="D26" s="1260"/>
      <c r="E26" s="1260">
        <f>SUBTOTAL(9,E23:E25)</f>
        <v>0</v>
      </c>
      <c r="F26" s="1261">
        <f>SUBTOTAL(9,F25:F25)</f>
        <v>0</v>
      </c>
      <c r="G26" s="1261">
        <f>SUBTOTAL(9,G25:G25)</f>
        <v>0</v>
      </c>
      <c r="H26" s="1261">
        <f>SUBTOTAL(9,H25:H25)</f>
        <v>0</v>
      </c>
      <c r="I26" s="1273">
        <f>SUBTOTAL(9,I25:I25)</f>
        <v>0</v>
      </c>
      <c r="J26" s="1272">
        <f>SUBTOTAL(9,J22:J25)</f>
        <v>0</v>
      </c>
      <c r="K26" s="1272">
        <f>SUBTOTAL(9,K22:K25)</f>
        <v>0</v>
      </c>
      <c r="L26" s="1272">
        <f>SUBTOTAL(9,L22:L25)</f>
        <v>0</v>
      </c>
      <c r="M26" s="1274">
        <f>SUBTOTAL(9,M22:M25)</f>
        <v>0</v>
      </c>
      <c r="N26" s="1272">
        <f t="shared" ref="N26:V26" si="4">SUBTOTAL(9,N25:N25)</f>
        <v>0</v>
      </c>
      <c r="O26" s="1272">
        <f t="shared" si="4"/>
        <v>0</v>
      </c>
      <c r="P26" s="1272">
        <f t="shared" si="4"/>
        <v>0</v>
      </c>
      <c r="Q26" s="1269">
        <f t="shared" si="4"/>
        <v>0</v>
      </c>
      <c r="R26" s="1269">
        <f t="shared" si="4"/>
        <v>0</v>
      </c>
      <c r="S26" s="1272">
        <f t="shared" si="4"/>
        <v>0</v>
      </c>
      <c r="T26" s="1272">
        <f t="shared" si="4"/>
        <v>0</v>
      </c>
      <c r="U26" s="1272">
        <f t="shared" si="4"/>
        <v>0</v>
      </c>
      <c r="V26" s="1272">
        <f t="shared" si="4"/>
        <v>0</v>
      </c>
      <c r="W26" s="1369">
        <v>0</v>
      </c>
      <c r="X26" s="1376">
        <v>0</v>
      </c>
      <c r="Y26" s="1317"/>
      <c r="Z26" s="1261">
        <f>SUBTOTAL(9,Z23:Z25)</f>
        <v>0</v>
      </c>
      <c r="AA26" s="1266">
        <f>IF(ISNUMBER((Z26*factor_trimestre)/Datos!BM26),(Z26*factor_trimestre)/Datos!BM26,"-")</f>
        <v>0</v>
      </c>
      <c r="AB26" s="1262">
        <f t="shared" ref="AB26:AL26" si="5">SUBTOTAL(9,AB25:AB25)</f>
        <v>0</v>
      </c>
      <c r="AC26" s="1262">
        <f t="shared" si="5"/>
        <v>0</v>
      </c>
      <c r="AD26" s="1262">
        <f t="shared" si="5"/>
        <v>0</v>
      </c>
      <c r="AE26" s="1262">
        <f t="shared" si="5"/>
        <v>0</v>
      </c>
      <c r="AF26" s="1264">
        <f t="shared" si="5"/>
        <v>0</v>
      </c>
      <c r="AG26" s="1264">
        <f t="shared" si="5"/>
        <v>0</v>
      </c>
      <c r="AH26" s="1264">
        <f t="shared" si="5"/>
        <v>0</v>
      </c>
      <c r="AI26" s="1264">
        <f t="shared" si="5"/>
        <v>0</v>
      </c>
      <c r="AJ26" s="1275">
        <f t="shared" si="5"/>
        <v>0</v>
      </c>
      <c r="AK26" s="1261">
        <f t="shared" si="5"/>
        <v>0</v>
      </c>
      <c r="AL26" s="1261">
        <f t="shared" si="5"/>
        <v>0</v>
      </c>
      <c r="AM26" s="1275"/>
      <c r="AN26" s="1262">
        <f>SUBTOTAL(9,AN25:AN25)</f>
        <v>0</v>
      </c>
      <c r="AO26" s="1272">
        <f>SUBTOTAL(9,AO25:AO25)</f>
        <v>0</v>
      </c>
      <c r="AP26" s="1267" t="str">
        <f>IF(ISNUMBER(((Datos!L26/Datos!K26)*11)/factor_trimestre),((Datos!L26/Datos!K26)*11)/factor_trimestre," - ")</f>
        <v xml:space="preserve"> - </v>
      </c>
      <c r="AQ26" s="1267" t="str">
        <f>IF(ISNUMBER(((Datos!M26/Datos!L26)*11)/factor_trimestre),((Datos!M26/Datos!L26)*11)/factor_trimestre," - ")</f>
        <v xml:space="preserve"> - </v>
      </c>
      <c r="AR26" s="1268" t="str">
        <f>IF(ISNUMBER(Datos!CI26/Datos!CJ26),Datos!CI26/Datos!CJ26," - ")</f>
        <v xml:space="preserve"> - </v>
      </c>
      <c r="AS26" s="1268" t="str">
        <f>IF(ISNUMBER(Datos!CJ26/Datos!CK26),Datos!CJ26/Datos!CK26," - ")</f>
        <v xml:space="preserve"> - </v>
      </c>
      <c r="AT26" s="1268" t="str">
        <f>IF(ISNUMBER((H26-AB26+K26)/(F26-K26)),(H26-AB26+K26)/(F26-K26)," - ")</f>
        <v xml:space="preserve"> - </v>
      </c>
      <c r="AU26" s="1268" t="str">
        <f>IF(ISNUMBER((I26-AC26+L26)/(G26-L26)),(I26-AC26+L26)/(G26-L26)," - ")</f>
        <v xml:space="preserve"> - </v>
      </c>
      <c r="AV26" s="1270" t="str">
        <f>IF(ISNUMBER((Datos!P26-Datos!Q26)/(Datos!R26-Datos!P26+Datos!Q26)),(Datos!P26-Datos!Q26)/(Datos!R26-Datos!P26+Datos!Q26)," - ")</f>
        <v xml:space="preserve"> - </v>
      </c>
      <c r="AW26" s="1270" t="str">
        <f>IF(ISNUMBER((Datos!Q26-Datos!R26)/(Datos!S26-Datos!Q26+Datos!R26)),(Datos!Q26-Datos!R26)/(Datos!S26-Datos!Q26+Datos!R26)," - ")</f>
        <v xml:space="preserve"> - </v>
      </c>
      <c r="AX26" s="1260">
        <f>SUBTOTAL(9,AX23:AX25)</f>
        <v>0</v>
      </c>
      <c r="AY26" s="1278"/>
      <c r="AZ26" s="1278"/>
      <c r="BA26" s="1271"/>
      <c r="BB26" s="248">
        <f>SUBTOTAL(9,BB25:BB25)</f>
        <v>0</v>
      </c>
      <c r="BC26" s="248">
        <f>SUBTOTAL(9,BC25:BC25)</f>
        <v>0</v>
      </c>
      <c r="BD26" s="939">
        <f>SUBTOTAL(9,BD25:BD25)</f>
        <v>0</v>
      </c>
      <c r="BE26" s="940"/>
      <c r="BF26" s="940"/>
      <c r="BG26" s="940"/>
      <c r="BH26" s="940"/>
      <c r="BI26" s="940"/>
      <c r="BJ26" s="940"/>
      <c r="BK26" s="940"/>
      <c r="BL26" s="940"/>
    </row>
    <row r="27" spans="1:64" ht="15" thickTop="1">
      <c r="A27" s="608"/>
      <c r="B27" s="608"/>
      <c r="C27" s="73" t="str">
        <f>Datos!A27</f>
        <v xml:space="preserve">Jurisdicción Social:                            </v>
      </c>
      <c r="D27" s="620"/>
      <c r="E27" s="990"/>
      <c r="F27" s="942"/>
      <c r="G27" s="965"/>
      <c r="H27" s="945"/>
      <c r="I27" s="890"/>
      <c r="J27" s="944"/>
      <c r="K27" s="944"/>
      <c r="L27" s="944"/>
      <c r="M27" s="944"/>
      <c r="N27" s="944"/>
      <c r="O27" s="944"/>
      <c r="P27" s="944"/>
      <c r="Q27" s="946"/>
      <c r="R27" s="946"/>
      <c r="S27" s="927"/>
      <c r="T27" s="927"/>
      <c r="U27" s="991"/>
      <c r="V27" s="991"/>
      <c r="W27" s="927"/>
      <c r="X27" s="1374"/>
      <c r="Y27" s="944"/>
      <c r="Z27" s="992"/>
      <c r="AA27" s="946"/>
      <c r="AB27" s="945"/>
      <c r="AC27" s="945"/>
      <c r="AD27" s="944"/>
      <c r="AE27" s="944"/>
      <c r="AF27" s="945"/>
      <c r="AG27" s="945"/>
      <c r="AH27" s="944"/>
      <c r="AI27" s="944"/>
      <c r="AJ27" s="968"/>
      <c r="AK27" s="972"/>
      <c r="AL27" s="942"/>
      <c r="AM27" s="974"/>
      <c r="AN27" s="974"/>
      <c r="AO27" s="975"/>
      <c r="AP27" s="920"/>
      <c r="AQ27" s="920"/>
      <c r="AR27" s="993"/>
      <c r="AS27" s="993"/>
      <c r="AT27" s="994"/>
      <c r="AU27" s="994"/>
      <c r="AV27" s="995"/>
      <c r="AW27" s="995"/>
      <c r="AX27" s="994"/>
      <c r="AY27" s="997"/>
      <c r="AZ27" s="997"/>
      <c r="BA27" s="998"/>
      <c r="BB27" s="231"/>
      <c r="BC27" s="231"/>
      <c r="BD27" s="942"/>
      <c r="BE27" s="951"/>
      <c r="BF27" s="951"/>
      <c r="BG27" s="951"/>
      <c r="BH27" s="951"/>
      <c r="BI27" s="951"/>
      <c r="BJ27" s="951"/>
      <c r="BK27" s="951"/>
      <c r="BL27" s="951"/>
    </row>
    <row r="28" spans="1:64" ht="14.25">
      <c r="A28" s="596">
        <f>Datos!AO28</f>
        <v>0</v>
      </c>
      <c r="B28" s="604" t="s">
        <v>517</v>
      </c>
      <c r="C28" s="7" t="str">
        <f>Datos!A28</f>
        <v xml:space="preserve">Jdos. de lo Social                              </v>
      </c>
      <c r="D28" s="907"/>
      <c r="E28" s="924"/>
      <c r="F28" s="929"/>
      <c r="G28" s="909"/>
      <c r="H28" s="929"/>
      <c r="I28" s="927"/>
      <c r="J28" s="927"/>
      <c r="K28" s="927"/>
      <c r="L28" s="907"/>
      <c r="M28" s="907"/>
      <c r="N28" s="927"/>
      <c r="O28" s="927"/>
      <c r="P28" s="927"/>
      <c r="Q28" s="982"/>
      <c r="R28" s="982"/>
      <c r="S28" s="927"/>
      <c r="T28" s="927"/>
      <c r="U28" s="928"/>
      <c r="V28" s="928"/>
      <c r="W28" s="927"/>
      <c r="X28" s="1374"/>
      <c r="Y28" s="1077"/>
      <c r="Z28" s="929"/>
      <c r="AA28" s="947"/>
      <c r="AB28" s="929"/>
      <c r="AC28" s="929"/>
      <c r="AD28" s="927"/>
      <c r="AE28" s="927"/>
      <c r="AF28" s="984"/>
      <c r="AG28" s="984"/>
      <c r="AH28" s="931"/>
      <c r="AI28" s="931"/>
      <c r="AJ28" s="932"/>
      <c r="AK28" s="908"/>
      <c r="AL28" s="929"/>
      <c r="AM28" s="929"/>
      <c r="AN28" s="985"/>
      <c r="AO28" s="986"/>
      <c r="AP28" s="1066"/>
      <c r="AQ28" s="1066"/>
      <c r="AR28" s="935"/>
      <c r="AS28" s="935"/>
      <c r="AT28" s="921"/>
      <c r="AU28" s="921"/>
      <c r="AV28" s="948"/>
      <c r="AW28" s="948"/>
      <c r="AX28" s="936"/>
      <c r="AY28" s="988"/>
      <c r="AZ28" s="988"/>
      <c r="BA28" s="925"/>
      <c r="BB28" s="240"/>
      <c r="BC28" s="240"/>
      <c r="BD28" s="929"/>
      <c r="BE28" s="989"/>
      <c r="BF28" s="989"/>
      <c r="BG28" s="989"/>
      <c r="BH28" s="989"/>
      <c r="BI28" s="989"/>
      <c r="BJ28" s="989"/>
      <c r="BK28" s="989"/>
      <c r="BL28" s="989"/>
    </row>
    <row r="29" spans="1:64" ht="15" thickBot="1">
      <c r="A29" s="596">
        <f>Datos!AO29</f>
        <v>0</v>
      </c>
      <c r="B29" s="604" t="s">
        <v>517</v>
      </c>
      <c r="C29" s="7" t="str">
        <f>Datos!A29</f>
        <v>Jdos. De lo Social de Ejecuciones</v>
      </c>
      <c r="D29" s="907"/>
      <c r="E29" s="924"/>
      <c r="F29" s="929"/>
      <c r="G29" s="909"/>
      <c r="H29" s="929"/>
      <c r="I29" s="927"/>
      <c r="J29" s="927"/>
      <c r="K29" s="927"/>
      <c r="L29" s="907"/>
      <c r="M29" s="907"/>
      <c r="N29" s="927"/>
      <c r="O29" s="927"/>
      <c r="P29" s="927"/>
      <c r="Q29" s="982"/>
      <c r="R29" s="982"/>
      <c r="S29" s="927"/>
      <c r="T29" s="927"/>
      <c r="U29" s="928"/>
      <c r="V29" s="928"/>
      <c r="W29" s="927"/>
      <c r="X29" s="1374"/>
      <c r="Y29" s="1077"/>
      <c r="Z29" s="929"/>
      <c r="AA29" s="947"/>
      <c r="AB29" s="929"/>
      <c r="AC29" s="929"/>
      <c r="AD29" s="927"/>
      <c r="AE29" s="927"/>
      <c r="AF29" s="984"/>
      <c r="AG29" s="984"/>
      <c r="AH29" s="931"/>
      <c r="AI29" s="931"/>
      <c r="AJ29" s="932"/>
      <c r="AK29" s="908"/>
      <c r="AL29" s="929"/>
      <c r="AM29" s="929"/>
      <c r="AN29" s="985"/>
      <c r="AO29" s="986"/>
      <c r="AP29" s="1066"/>
      <c r="AQ29" s="1066"/>
      <c r="AR29" s="935"/>
      <c r="AS29" s="935"/>
      <c r="AT29" s="935"/>
      <c r="AU29" s="935"/>
      <c r="AV29" s="948"/>
      <c r="AW29" s="948"/>
      <c r="AX29" s="936"/>
      <c r="AY29" s="988"/>
      <c r="AZ29" s="988"/>
      <c r="BA29" s="925"/>
      <c r="BB29" s="240"/>
      <c r="BC29" s="240"/>
      <c r="BD29" s="929"/>
      <c r="BE29" s="989"/>
      <c r="BF29" s="989"/>
      <c r="BG29" s="989"/>
      <c r="BH29" s="989"/>
      <c r="BI29" s="989"/>
      <c r="BJ29" s="989"/>
      <c r="BK29" s="989"/>
      <c r="BL29" s="989"/>
    </row>
    <row r="30" spans="1:64" ht="15.75" thickTop="1" thickBot="1">
      <c r="A30" s="938"/>
      <c r="B30" s="938"/>
      <c r="C30" s="1259" t="str">
        <f>Datos!A30</f>
        <v>TOTAL</v>
      </c>
      <c r="D30" s="1260"/>
      <c r="E30" s="1260">
        <f>SUBTOTAL(9,E25:E29)</f>
        <v>0</v>
      </c>
      <c r="F30" s="1261">
        <f>SUBTOTAL(9,F28:F29)</f>
        <v>0</v>
      </c>
      <c r="G30" s="1261">
        <f>SUBTOTAL(9,G28:G29)</f>
        <v>0</v>
      </c>
      <c r="H30" s="1261">
        <f>SUBTOTAL(9,H28:H29)</f>
        <v>0</v>
      </c>
      <c r="I30" s="1273">
        <f>SUBTOTAL(9,I28:I29)</f>
        <v>0</v>
      </c>
      <c r="J30" s="1272">
        <f>SUBTOTAL(9,J23:J29)</f>
        <v>0</v>
      </c>
      <c r="K30" s="1272">
        <f>SUBTOTAL(9,K23:K29)</f>
        <v>0</v>
      </c>
      <c r="L30" s="1274"/>
      <c r="M30" s="1274"/>
      <c r="N30" s="1272">
        <f t="shared" ref="N30:V30" si="6">SUBTOTAL(9,N28:N29)</f>
        <v>0</v>
      </c>
      <c r="O30" s="1272">
        <f t="shared" si="6"/>
        <v>0</v>
      </c>
      <c r="P30" s="1272">
        <f t="shared" si="6"/>
        <v>0</v>
      </c>
      <c r="Q30" s="1269">
        <f t="shared" si="6"/>
        <v>0</v>
      </c>
      <c r="R30" s="1269">
        <f t="shared" si="6"/>
        <v>0</v>
      </c>
      <c r="S30" s="1272">
        <f t="shared" si="6"/>
        <v>0</v>
      </c>
      <c r="T30" s="1272">
        <f t="shared" si="6"/>
        <v>0</v>
      </c>
      <c r="U30" s="1272">
        <f t="shared" si="6"/>
        <v>0</v>
      </c>
      <c r="V30" s="1272">
        <f t="shared" si="6"/>
        <v>0</v>
      </c>
      <c r="W30" s="1369">
        <v>0</v>
      </c>
      <c r="X30" s="1376">
        <v>0</v>
      </c>
      <c r="Y30" s="1274">
        <f>SUBTOTAL(9,Y28:Y29)</f>
        <v>0</v>
      </c>
      <c r="Z30" s="1261">
        <f>SUBTOTAL(9,Z25:Z29)</f>
        <v>0</v>
      </c>
      <c r="AA30" s="1266">
        <f>IF(ISNUMBER((Z30*factor_trimestre)/Datos!BM30),(Z30*factor_trimestre)/Datos!BM30,"-")</f>
        <v>0</v>
      </c>
      <c r="AB30" s="1262">
        <f t="shared" ref="AB30:AJ30" si="7">SUBTOTAL(9,AB28:AB29)</f>
        <v>0</v>
      </c>
      <c r="AC30" s="1262">
        <f t="shared" si="7"/>
        <v>0</v>
      </c>
      <c r="AD30" s="1262">
        <f t="shared" si="7"/>
        <v>0</v>
      </c>
      <c r="AE30" s="1262">
        <f t="shared" si="7"/>
        <v>0</v>
      </c>
      <c r="AF30" s="1264">
        <f t="shared" si="7"/>
        <v>0</v>
      </c>
      <c r="AG30" s="1264">
        <f t="shared" si="7"/>
        <v>0</v>
      </c>
      <c r="AH30" s="1264">
        <f t="shared" si="7"/>
        <v>0</v>
      </c>
      <c r="AI30" s="1264">
        <f t="shared" si="7"/>
        <v>0</v>
      </c>
      <c r="AJ30" s="1275">
        <f t="shared" si="7"/>
        <v>0</v>
      </c>
      <c r="AK30" s="1279"/>
      <c r="AL30" s="1261">
        <f>SUBTOTAL(9,AL28:AL29)</f>
        <v>0</v>
      </c>
      <c r="AM30" s="1275"/>
      <c r="AN30" s="1262">
        <f>SUBTOTAL(9,AN28:AN29)</f>
        <v>0</v>
      </c>
      <c r="AO30" s="1272">
        <f>SUBTOTAL(9,AO28:AO29)</f>
        <v>0</v>
      </c>
      <c r="AP30" s="1267" t="str">
        <f>IF(ISNUMBER(((Datos!L30/Datos!K30)*11)/factor_trimestre),((Datos!L30/Datos!K30)*11)/factor_trimestre," - ")</f>
        <v xml:space="preserve"> - </v>
      </c>
      <c r="AQ30" s="1267" t="str">
        <f>IF(ISNUMBER(((Datos!M30/Datos!L30)*11)/factor_trimestre),((Datos!M30/Datos!L30)*11)/factor_trimestre," - ")</f>
        <v xml:space="preserve"> - </v>
      </c>
      <c r="AR30" s="1268" t="str">
        <f>IF(ISNUMBER(AT30/AV30),AT30/AV30," - ")</f>
        <v xml:space="preserve"> - </v>
      </c>
      <c r="AS30" s="1268" t="str">
        <f>IF(ISNUMBER(AV30/#REF!),AV30/#REF!," - ")</f>
        <v xml:space="preserve"> - </v>
      </c>
      <c r="AT30" s="1268"/>
      <c r="AU30" s="1268" t="str">
        <f>IF(ISNUMBER((I30-AC30+L30)/(G30-L30)),(I30-AC30+L30)/(G30-L30)," - ")</f>
        <v xml:space="preserve"> - </v>
      </c>
      <c r="AV30" s="1270" t="str">
        <f>IF(ISNUMBER((Datos!P30-Datos!Q30)/(Datos!R30-Datos!P30+Datos!Q30)),(Datos!P30-Datos!Q30)/(Datos!R30-Datos!P30+Datos!Q30)," - ")</f>
        <v xml:space="preserve"> - </v>
      </c>
      <c r="AW30" s="1270" t="str">
        <f>IF(ISNUMBER((Datos!Q30-Datos!R30)/(Datos!S30-Datos!Q30+Datos!R30)),(Datos!Q30-Datos!R30)/(Datos!S30-Datos!Q30+Datos!R30)," - ")</f>
        <v xml:space="preserve"> - </v>
      </c>
      <c r="AX30" s="1260">
        <f>SUBTOTAL(9,AX25:AX29)</f>
        <v>0</v>
      </c>
      <c r="AY30" s="1280"/>
      <c r="AZ30" s="1280"/>
      <c r="BA30" s="1271"/>
      <c r="BB30" s="248">
        <f>SUBTOTAL(9,BB28:BB29)</f>
        <v>0</v>
      </c>
      <c r="BC30" s="248">
        <f>SUBTOTAL(9,BC28:BC29)</f>
        <v>0</v>
      </c>
      <c r="BD30" s="939">
        <f>SUBTOTAL(9,BD28:BD29)</f>
        <v>0</v>
      </c>
      <c r="BE30" s="940"/>
      <c r="BF30" s="940"/>
      <c r="BG30" s="940"/>
      <c r="BH30" s="940"/>
      <c r="BI30" s="940"/>
      <c r="BJ30" s="940"/>
      <c r="BK30" s="940"/>
      <c r="BL30" s="940"/>
    </row>
    <row r="31" spans="1:64" ht="18.75" customHeight="1" thickTop="1" thickBot="1">
      <c r="A31" s="1001"/>
      <c r="B31" s="1001"/>
      <c r="C31" s="1281" t="str">
        <f>Datos!A31</f>
        <v>TOTAL JURISDICCIONES</v>
      </c>
      <c r="D31" s="1281"/>
      <c r="E31" s="1282">
        <f t="shared" ref="E31:T31" si="8">SUBTOTAL(9,E9:E30)</f>
        <v>24</v>
      </c>
      <c r="F31" s="1283">
        <f t="shared" si="8"/>
        <v>265</v>
      </c>
      <c r="G31" s="1283">
        <f t="shared" si="8"/>
        <v>260</v>
      </c>
      <c r="H31" s="1283">
        <f t="shared" si="8"/>
        <v>0</v>
      </c>
      <c r="I31" s="1284">
        <f t="shared" si="8"/>
        <v>0</v>
      </c>
      <c r="J31" s="1285">
        <f t="shared" si="8"/>
        <v>0</v>
      </c>
      <c r="K31" s="1285">
        <f t="shared" si="8"/>
        <v>0</v>
      </c>
      <c r="L31" s="1285">
        <f t="shared" si="8"/>
        <v>0</v>
      </c>
      <c r="M31" s="1285">
        <f t="shared" si="8"/>
        <v>0</v>
      </c>
      <c r="N31" s="1284">
        <f t="shared" si="8"/>
        <v>163</v>
      </c>
      <c r="O31" s="1284">
        <f t="shared" si="8"/>
        <v>0</v>
      </c>
      <c r="P31" s="1284">
        <f t="shared" si="8"/>
        <v>0</v>
      </c>
      <c r="Q31" s="1318">
        <f t="shared" si="8"/>
        <v>0</v>
      </c>
      <c r="R31" s="1318">
        <f t="shared" si="8"/>
        <v>0</v>
      </c>
      <c r="S31" s="1284">
        <f t="shared" si="8"/>
        <v>0</v>
      </c>
      <c r="T31" s="1284">
        <f t="shared" si="8"/>
        <v>0</v>
      </c>
      <c r="U31" s="1286">
        <f>IF(ISNUMBER(AVERAGE(U8:U30)),AVERAGE(U8:U30),"-")</f>
        <v>0</v>
      </c>
      <c r="V31" s="1286">
        <f>IF(ISNUMBER(AVERAGE(V8:V30)),AVERAGE(V8:V30),"-")</f>
        <v>0</v>
      </c>
      <c r="W31" s="1370">
        <f>SUBTOTAL(9,W9:W30)</f>
        <v>0</v>
      </c>
      <c r="X31" s="1286">
        <f>IF(ISNUMBER(AVERAGE(X8:X30)),AVERAGE(X8:X30),"-")</f>
        <v>0</v>
      </c>
      <c r="Y31" s="1319">
        <f>SUBTOTAL(9,Y9:Y30)</f>
        <v>0</v>
      </c>
      <c r="Z31" s="1287">
        <f>SUBTOTAL(9,Z9:Z30)</f>
        <v>0</v>
      </c>
      <c r="AA31" s="1288">
        <f>IF(ISNUMBER(AVERAGE(AA8:AA30)),AVERAGE(AA8:AA30),"-")</f>
        <v>0</v>
      </c>
      <c r="AB31" s="1289">
        <f t="shared" ref="AB31:AO31" si="9">SUBTOTAL(9,AB9:AB30)</f>
        <v>532</v>
      </c>
      <c r="AC31" s="1289">
        <f t="shared" si="9"/>
        <v>0</v>
      </c>
      <c r="AD31" s="1289">
        <f t="shared" si="9"/>
        <v>0</v>
      </c>
      <c r="AE31" s="1289">
        <f t="shared" si="9"/>
        <v>0</v>
      </c>
      <c r="AF31" s="1290">
        <f t="shared" si="9"/>
        <v>204</v>
      </c>
      <c r="AG31" s="1290">
        <f t="shared" si="9"/>
        <v>0</v>
      </c>
      <c r="AH31" s="1290">
        <f t="shared" si="9"/>
        <v>0</v>
      </c>
      <c r="AI31" s="1290">
        <f t="shared" si="9"/>
        <v>0</v>
      </c>
      <c r="AJ31" s="1291">
        <f t="shared" si="9"/>
        <v>0</v>
      </c>
      <c r="AK31" s="1291">
        <f t="shared" si="9"/>
        <v>0</v>
      </c>
      <c r="AL31" s="1283">
        <f t="shared" si="9"/>
        <v>207</v>
      </c>
      <c r="AM31" s="1283">
        <f t="shared" si="9"/>
        <v>247</v>
      </c>
      <c r="AN31" s="1283">
        <f t="shared" si="9"/>
        <v>0</v>
      </c>
      <c r="AO31" s="1283">
        <f t="shared" si="9"/>
        <v>0</v>
      </c>
      <c r="AP31" s="1283">
        <f>IF(ISNUMBER(((Datos!L31/Datos!K31)*11)/factor_trimestre),((Datos!L31/Datos!K31)*11)/factor_trimestre," - ")</f>
        <v>2.9693918406637869</v>
      </c>
      <c r="AQ31" s="1283" t="str">
        <f>IF(ISNUMBER(((DatosP!L31/DatosP!K31)*11)/factor_trimestre),((DatosP!L31/DatosP!K31)*11)/factor_trimestre," - ")</f>
        <v xml:space="preserve"> - </v>
      </c>
      <c r="AR31" s="1294" t="str">
        <f>IF(ISNUMBER(Datos!CI31/Datos!CJ31),Datos!CI31/Datos!CJ31," - ")</f>
        <v xml:space="preserve"> - </v>
      </c>
      <c r="AS31" s="1294" t="str">
        <f>IF(ISNUMBER(DatosP!CI31/DatosP!CJ31),DatosP!CI31/DatosP!CJ31," - ")</f>
        <v xml:space="preserve"> - </v>
      </c>
      <c r="AT31" s="1295">
        <f>IF(OR(ISNUMBER(FIND("04",Criterios!A8,1))),(BB31-AB31+J31)/(F31-J31),(H31-AB31+J31)/(F31-J31))</f>
        <v>-2.0075471698113208</v>
      </c>
      <c r="AU31" s="1295" t="e">
        <f>IF(ISNUMBER(FIND("04",Criterios!A8,1)),(DatosP!DC31-DatosP!K31+DatosP!DF31)/(DatosP!L31+DatosP!K31-DatosP!J31-DatosP!DF31),(DatosP!DB31-DatosP!K31+DatosP!DF31)/(DatosP!L31+DatosP!K31-DatosP!J31-DatosP!DF31))</f>
        <v>#DIV/0!</v>
      </c>
      <c r="AV31" s="1296">
        <f>IF(ISNUMBER((Datos!P31-Datos!Q31+Datos!DE31)/(Datos!R31-Datos!P31+Datos!Q31-Datos!DE31)),(Datos!P31-Datos!Q31+Datos!DE31)/(Datos!R31-Datos!P31+Datos!Q31-Datos!DE31)," - ")</f>
        <v>-8.6267353656791182E-2</v>
      </c>
      <c r="AW31" s="1296" t="str">
        <f>IF(ISNUMBER((DatosP!P31-DatosP!Q31+DatosP!DE31)/(DatosP!R31-DatosP!P31+DatosP!Q31-DatosP!DE31)),(DatosP!P31-DatosP!Q31+DatosP!DE31)/(DatosP!R31-DatosP!P31+DatosP!Q31-DatosP!DE31)," - ")</f>
        <v xml:space="preserve"> - </v>
      </c>
      <c r="AX31" s="1298">
        <f>SUBTOTAL(9,AX9:AX30)</f>
        <v>0</v>
      </c>
      <c r="AY31" s="1299"/>
      <c r="AZ31" s="1299"/>
      <c r="BA31" s="1300"/>
      <c r="BB31" s="309">
        <f>SUBTOTAL(9,BB9:BB30)</f>
        <v>0</v>
      </c>
      <c r="BC31" s="309">
        <f>SUBTOTAL(9,BC9:BC30)</f>
        <v>0</v>
      </c>
      <c r="BD31" s="1002">
        <f>SUBTOTAL(9,BD9:BD30)</f>
        <v>0</v>
      </c>
      <c r="BE31" s="1004"/>
      <c r="BF31" s="1004"/>
      <c r="BG31" s="1004"/>
      <c r="BH31" s="1004"/>
      <c r="BI31" s="1004"/>
      <c r="BJ31" s="1004"/>
      <c r="BK31" s="1004"/>
      <c r="BL31" s="1004"/>
    </row>
    <row r="32" spans="1:64" ht="18.75" customHeight="1" thickTop="1" thickBot="1">
      <c r="A32" s="1005"/>
      <c r="B32" s="1005"/>
      <c r="C32" s="1301" t="s">
        <v>344</v>
      </c>
      <c r="D32" s="1302"/>
      <c r="E32" s="1302">
        <f ca="1">IF(ISNUMBER(SUMIF($B8:$B30,$B32,E8:E30)/INDIRECT("Datos!AP"&amp;ROW()-1)),SUMIF($B8:$B30,$B32,E8:E30)/INDIRECT("Datos!AP"&amp;ROW()-1),"-")</f>
        <v>0</v>
      </c>
      <c r="F32" s="1293">
        <f ca="1">IF(ISNUMBER(SUMIF($B8:$B30,$B32,F8:F30)/INDIRECT("Datos!AP"&amp;ROW()-1)),SUMIF($B8:$B30,$B32,F8:F30)/INDIRECT("Datos!AP"&amp;ROW()-1),"-")</f>
        <v>0</v>
      </c>
      <c r="G32" s="1303">
        <f>IF(ISNUMBER(AVERAGE(G8:G30)),AVERAGE(G8:G30),"-")</f>
        <v>104</v>
      </c>
      <c r="H32" s="1293">
        <f t="shared" ref="H32:S32" ca="1" si="10">IF(ISNUMBER(SUMIF($B8:$B30,$B32,H8:H30)/INDIRECT("Datos!AP"&amp;ROW()-1)),SUMIF($B8:$B30,$B32,H8:H30)/INDIRECT("Datos!AP"&amp;ROW()-1),"-")</f>
        <v>0</v>
      </c>
      <c r="I32" s="1304">
        <f t="shared" ca="1" si="10"/>
        <v>0</v>
      </c>
      <c r="J32" s="1304">
        <f t="shared" ca="1" si="10"/>
        <v>0</v>
      </c>
      <c r="K32" s="1304">
        <f t="shared" ca="1" si="10"/>
        <v>0</v>
      </c>
      <c r="L32" s="1304">
        <f t="shared" ca="1" si="10"/>
        <v>0</v>
      </c>
      <c r="M32" s="1304">
        <f t="shared" ca="1" si="10"/>
        <v>0</v>
      </c>
      <c r="N32" s="1304">
        <f t="shared" ca="1" si="10"/>
        <v>0</v>
      </c>
      <c r="O32" s="1304">
        <f t="shared" ca="1" si="10"/>
        <v>0</v>
      </c>
      <c r="P32" s="1304">
        <f t="shared" ca="1" si="10"/>
        <v>0</v>
      </c>
      <c r="Q32" s="1305">
        <f t="shared" ca="1" si="10"/>
        <v>0</v>
      </c>
      <c r="R32" s="1305">
        <f t="shared" ca="1" si="10"/>
        <v>0</v>
      </c>
      <c r="S32" s="1304">
        <f t="shared" ca="1" si="10"/>
        <v>0</v>
      </c>
      <c r="T32" s="1304" t="str">
        <f ca="1">IF(ISNUMBER(SUMIF($B8:$B30,$B32,T8:T30)/INDIRECT("DatosP!AP"&amp;ROW()-1)),SUMIF($B8:$B30,$B32,T8:T30)/INDIRECT("DatosP!AP"&amp;ROW()-1),"-")</f>
        <v>-</v>
      </c>
      <c r="U32" s="1306">
        <f ca="1">IF(ISNUMBER(SUMIF($B8:$B30,$B32,U8:U30)/INDIRECT("Datos!AP"&amp;ROW()-1)),SUMIF($B8:$B30,$B32,U8:U30)/INDIRECT("Datos!AP"&amp;ROW()-1),"-")</f>
        <v>0</v>
      </c>
      <c r="V32" s="1306">
        <f ca="1">IF(ISNUMBER(SUMIF($B8:$B30,$B32,V8:V30)/INDIRECT("Datos!AP"&amp;ROW()-1)),SUMIF($B8:$B30,$B32,V8:V30)/INDIRECT("Datos!AP"&amp;ROW()-1),"-")</f>
        <v>0</v>
      </c>
      <c r="W32" s="1304" t="str">
        <f ca="1">IF(ISNUMBER(SUMIF($B8:$B30,$B32,W8:W30)/INDIRECT("DatosP!AP"&amp;ROW()-1)),SUMIF($B8:$B30,$B32,W8:W30)/INDIRECT("DatosP!AP"&amp;ROW()-1),"-")</f>
        <v>-</v>
      </c>
      <c r="X32" s="1306">
        <f t="shared" ref="X32:AP32" ca="1" si="11">IF(ISNUMBER(SUMIF($B8:$B30,$B32,X8:X30)/INDIRECT("Datos!AP"&amp;ROW()-1)),SUMIF($B8:$B30,$B32,X8:X30)/INDIRECT("Datos!AP"&amp;ROW()-1),"-")</f>
        <v>0</v>
      </c>
      <c r="Y32" s="1320">
        <f t="shared" ca="1" si="11"/>
        <v>0</v>
      </c>
      <c r="Z32" s="1307">
        <f t="shared" ca="1" si="11"/>
        <v>0</v>
      </c>
      <c r="AA32" s="1308">
        <f t="shared" ca="1" si="11"/>
        <v>0</v>
      </c>
      <c r="AB32" s="1309">
        <f t="shared" ca="1" si="11"/>
        <v>0</v>
      </c>
      <c r="AC32" s="1309">
        <f t="shared" ca="1" si="11"/>
        <v>0</v>
      </c>
      <c r="AD32" s="1309">
        <f t="shared" ca="1" si="11"/>
        <v>0</v>
      </c>
      <c r="AE32" s="1309">
        <f t="shared" ca="1" si="11"/>
        <v>0</v>
      </c>
      <c r="AF32" s="1309">
        <f t="shared" ca="1" si="11"/>
        <v>0</v>
      </c>
      <c r="AG32" s="1309">
        <f t="shared" ca="1" si="11"/>
        <v>0</v>
      </c>
      <c r="AH32" s="1309">
        <f t="shared" ca="1" si="11"/>
        <v>0</v>
      </c>
      <c r="AI32" s="1309">
        <f t="shared" ca="1" si="11"/>
        <v>0</v>
      </c>
      <c r="AJ32" s="1304">
        <f t="shared" ca="1" si="11"/>
        <v>0</v>
      </c>
      <c r="AK32" s="1311">
        <f t="shared" ca="1" si="11"/>
        <v>0</v>
      </c>
      <c r="AL32" s="1293">
        <f t="shared" ca="1" si="11"/>
        <v>0</v>
      </c>
      <c r="AM32" s="1293">
        <f t="shared" ca="1" si="11"/>
        <v>0</v>
      </c>
      <c r="AN32" s="1293">
        <f t="shared" ca="1" si="11"/>
        <v>0</v>
      </c>
      <c r="AO32" s="1304">
        <f t="shared" ca="1" si="11"/>
        <v>0</v>
      </c>
      <c r="AP32" s="1304">
        <f t="shared" ca="1" si="11"/>
        <v>0</v>
      </c>
      <c r="AQ32" s="1304" t="str">
        <f ca="1">IF(ISNUMBER(SUMIF($B8:$B30,$B32,AQ8:AQ30)/INDIRECT("DatosP!AP"&amp;ROW()-1)),SUMIF($B8:$B30,$B32,AQ8:AQ30)/INDIRECT("DatosP!AP"&amp;ROW()-1),"-")</f>
        <v>-</v>
      </c>
      <c r="AR32" s="1312" t="e">
        <f ca="1">INDIRECT("Datos!CI"&amp;ROW()-1)/INDIRECT("Datos!CJ"&amp;ROW()-1)</f>
        <v>#DIV/0!</v>
      </c>
      <c r="AS32" s="1312" t="e">
        <f ca="1">INDIRECT("DatosP!CI"&amp;ROW()-1)/INDIRECT("DatosP!CJ"&amp;ROW()-1)</f>
        <v>#DIV/0!</v>
      </c>
      <c r="AT32" s="1295" t="e">
        <f ca="1">IF(OR(ISNUMBER(FIND("04",Criterios!A8,1))),(BB32-AB32+J32)/(F32-J32),(H32-AB32+J32)/(F32-J32))</f>
        <v>#DIV/0!</v>
      </c>
      <c r="AU32" s="1295" t="str">
        <f ca="1">(INDIRECT("AW"&amp;ROW()-1))</f>
        <v xml:space="preserve"> - </v>
      </c>
      <c r="AV32" s="1313">
        <f ca="1">IF(ISNUMBER(SUMIF($B8:$B30,$B32,AV8:AV30)/INDIRECT("Datos!AP"&amp;ROW()-1)),SUMIF($B8:$B30,$B32,AV8:AV30)/INDIRECT("Datos!AP"&amp;ROW()-1),"-")</f>
        <v>0</v>
      </c>
      <c r="AW32" s="1313">
        <f ca="1">IF(ISNUMBER(SUMIF($B8:$B30,$B32,AW8:AW30)/INDIRECT("Datos!AP"&amp;ROW()-1)),SUMIF($B8:$B30,$B32,AW8:AW30)/INDIRECT("Datos!AP"&amp;ROW()-1),"-")</f>
        <v>0</v>
      </c>
      <c r="AX32" s="1315">
        <f ca="1">IF(ISNUMBER(SUMIF($B8:$B30,$B32,AX8:AX30)/INDIRECT("Datos!AP"&amp;ROW()-1)),SUMIF($B8:$B30,$B32,AX8:AX30)/INDIRECT("Datos!AP"&amp;ROW()-1),"-")</f>
        <v>0</v>
      </c>
      <c r="AY32" s="1315"/>
      <c r="AZ32" s="1315"/>
      <c r="BA32" s="1316"/>
      <c r="BB32" s="272">
        <f ca="1">IF(ISNUMBER(SUMIF($B8:$B30,$B32,BB8:BB30)/INDIRECT("Datos!AP"&amp;ROW()-1)),SUMIF($B8:$B30,$B32,BB8:BB30)/INDIRECT("Datos!AP"&amp;ROW()-1),"-")</f>
        <v>0</v>
      </c>
      <c r="BC32" s="272">
        <f ca="1">IF(ISNUMBER(SUMIF($B8:$B30,$B32,BC8:BC30)/INDIRECT("Datos!AP"&amp;ROW()-1)),SUMIF($B8:$B30,$B32,BC8:BC30)/INDIRECT("Datos!AP"&amp;ROW()-1),"-")</f>
        <v>0</v>
      </c>
      <c r="BD32" s="1003">
        <f ca="1">IF(ISNUMBER(SUMIF($B8:$B30,$B32,BD8:BD30)/INDIRECT("Datos!AP"&amp;ROW()-1)),SUMIF($B8:$B30,$B32,BD8:BD30)/INDIRECT("Datos!AP"&amp;ROW()-1),"-")</f>
        <v>0</v>
      </c>
    </row>
    <row r="33" spans="1:56" ht="18.75" hidden="1" customHeight="1">
      <c r="A33" s="1006"/>
      <c r="B33" s="1006"/>
      <c r="C33" s="1006" t="s">
        <v>345</v>
      </c>
      <c r="D33" s="1007"/>
      <c r="E33" s="1008">
        <f>IF(ISNUMBER(STDEV(E8:E30)),STDEV(E8:E30),"-")</f>
        <v>8.9022469073824286</v>
      </c>
      <c r="F33" s="1009">
        <f>IF(ISNUMBER(STDEV(F8:F30)),STDEV(F8:F30),"-")</f>
        <v>145.14647773886901</v>
      </c>
      <c r="G33" s="1010">
        <f>IF(ISNUMBER(STDEV(G8:G30)),STDEV(G8:G30),"-")</f>
        <v>142.40786495134319</v>
      </c>
      <c r="H33" s="1009">
        <f>IF(ISNUMBER(STDEV(H8:H30)),STDEV(H8:H30),"-")</f>
        <v>0</v>
      </c>
      <c r="I33" s="1012">
        <f>IF(ISNUMBER(STDEV(I8:I30)),STDEV(I8:I30),"-")</f>
        <v>0</v>
      </c>
      <c r="J33" s="1011"/>
      <c r="K33" s="1011"/>
      <c r="L33" s="1011"/>
      <c r="M33" s="1011"/>
      <c r="N33" s="1011"/>
      <c r="O33" s="1011"/>
      <c r="P33" s="1011"/>
      <c r="Q33" s="1013"/>
      <c r="R33" s="1013"/>
      <c r="S33" s="1011"/>
      <c r="T33" s="1011"/>
      <c r="U33" s="1013"/>
      <c r="V33" s="1013"/>
      <c r="W33" s="1011"/>
      <c r="X33" s="1377"/>
      <c r="Y33" s="1078"/>
      <c r="Z33" s="1009">
        <f>IF(ISNUMBER(STDEV(Z8:Z30)),STDEV(Z8:Z30),"-")</f>
        <v>0</v>
      </c>
      <c r="AA33" s="1013">
        <f>IF(ISNUMBER(STDEV(AA8:AA30)),STDEV(AA8:AA30),"-")</f>
        <v>0</v>
      </c>
      <c r="AB33" s="1011">
        <f>IF(ISNUMBER(STDEV(AB8:AB30)),STDEV(AB8:AB30),"-")</f>
        <v>291.38840059274838</v>
      </c>
      <c r="AC33" s="1011">
        <f>IF(ISNUMBER(STDEV(AC8:AC30)),STDEV(AC8:AC30),"-")</f>
        <v>0</v>
      </c>
      <c r="AD33" s="1014"/>
      <c r="AE33" s="1014"/>
      <c r="AF33" s="1014"/>
      <c r="AG33" s="1014"/>
      <c r="AH33" s="1014"/>
      <c r="AI33" s="1014"/>
      <c r="AJ33" s="1015">
        <f>IF(ISNUMBER(STDEV(AJ8:AJ30)),STDEV(AJ8:AJ30),"-")</f>
        <v>0</v>
      </c>
      <c r="AK33" s="1017"/>
      <c r="AL33" s="1009">
        <f>IF(ISNUMBER(STDEV(AL8:AL30)),STDEV(AL8:AL30),"-")</f>
        <v>113.37856940356939</v>
      </c>
      <c r="AM33" s="1009"/>
      <c r="AN33" s="1009">
        <f>IF(ISNUMBER(STDEV(AN8:AN30)),STDEV(AN8:AN30),"-")</f>
        <v>0</v>
      </c>
      <c r="AO33" s="1015">
        <f>IF(ISNUMBER(STDEV(AO8:AO30)),STDEV(AO8:AO30),"-")</f>
        <v>0</v>
      </c>
      <c r="AP33" s="1068">
        <f>IF(ISNUMBER(STDEV(AP8:AP30)),STDEV(AP8:AP30),"-")</f>
        <v>3.0836829244685457</v>
      </c>
      <c r="AQ33" s="1068" t="str">
        <f>IF(ISNUMBER(STDEV(AQ8:AQ30)),STDEV(AQ8:AQ30),"-")</f>
        <v>-</v>
      </c>
      <c r="AR33" s="935" t="str">
        <f>IF(ISNUMBER(AT33/AV33),AT33/AV33," - ")</f>
        <v xml:space="preserve"> - </v>
      </c>
      <c r="AS33" s="935" t="str">
        <f>IF(ISNUMBER(AV33/#REF!),AV33/#REF!," - ")</f>
        <v xml:space="preserve"> - </v>
      </c>
      <c r="AT33" s="1019" t="str">
        <f>IF(ISNUMBER(STDEV(AT8:AT30)),STDEV(AT8:AT30),"-")</f>
        <v>-</v>
      </c>
      <c r="AU33" s="1019" t="str">
        <f>IF(ISNUMBER(STDEV(AU8:AU30)),STDEV(AU8:AU30),"-")</f>
        <v>-</v>
      </c>
      <c r="AV33" s="1020"/>
      <c r="AW33" s="1020"/>
      <c r="AX33" s="1022">
        <f t="shared" ref="AX33:BD33" si="12">IF(ISNUMBER(STDEV(AX8:AX30)),STDEV(AX8:AX30),"-")</f>
        <v>0</v>
      </c>
      <c r="AY33" s="1023">
        <f t="shared" si="12"/>
        <v>0</v>
      </c>
      <c r="AZ33" s="1023">
        <f t="shared" si="12"/>
        <v>0</v>
      </c>
      <c r="BA33" s="1024">
        <f t="shared" si="12"/>
        <v>0</v>
      </c>
      <c r="BB33" s="278">
        <f t="shared" si="12"/>
        <v>0</v>
      </c>
      <c r="BC33" s="278">
        <f t="shared" si="12"/>
        <v>0</v>
      </c>
      <c r="BD33" s="1009">
        <f t="shared" si="12"/>
        <v>0</v>
      </c>
    </row>
    <row r="34" spans="1:56" ht="12" customHeight="1" thickTop="1">
      <c r="C34" s="74"/>
      <c r="D34" s="564"/>
      <c r="F34" s="1025"/>
      <c r="G34" s="1026"/>
      <c r="H34" s="1025"/>
      <c r="J34" s="1025"/>
      <c r="K34" s="1025"/>
      <c r="L34" s="1027"/>
      <c r="M34" s="1027"/>
      <c r="N34" s="1025"/>
      <c r="O34" s="1025"/>
      <c r="P34" s="1025"/>
      <c r="Q34" s="1028"/>
      <c r="R34" s="1028"/>
      <c r="S34" s="1025"/>
      <c r="T34" s="1025"/>
      <c r="U34" s="1028"/>
      <c r="V34" s="1028"/>
      <c r="W34" s="1025"/>
      <c r="X34" s="1378"/>
      <c r="Y34" s="1079"/>
      <c r="Z34" s="1025"/>
      <c r="AA34" s="1028"/>
      <c r="AB34" s="1025"/>
      <c r="AC34" s="1025"/>
      <c r="AD34" s="1025"/>
      <c r="AE34" s="1025"/>
      <c r="AF34" s="1025"/>
      <c r="AG34" s="1025"/>
      <c r="AH34" s="1025"/>
      <c r="AI34" s="1025"/>
      <c r="AJ34" s="1025"/>
      <c r="AK34" s="1025"/>
      <c r="AL34" s="1025"/>
      <c r="AM34" s="1025"/>
      <c r="AN34" s="1025"/>
      <c r="AO34" s="1025"/>
      <c r="AP34" s="1026"/>
      <c r="AQ34" s="1026"/>
      <c r="AR34" s="1028"/>
      <c r="AS34" s="1028"/>
      <c r="AT34" s="1025" t="s">
        <v>549</v>
      </c>
      <c r="AU34" s="1025" t="s">
        <v>549</v>
      </c>
      <c r="AV34" s="1029"/>
      <c r="AW34" s="1029"/>
      <c r="AX34" s="1025"/>
      <c r="AY34" s="1031"/>
      <c r="AZ34" s="1031"/>
      <c r="BA34" s="1032"/>
      <c r="BD34" s="1025"/>
    </row>
    <row r="35" spans="1:56" ht="14.25">
      <c r="C35" s="173"/>
      <c r="D35" s="639"/>
      <c r="E35" s="1033"/>
      <c r="F35" s="1034"/>
      <c r="G35" s="917"/>
      <c r="H35" s="1035"/>
      <c r="I35" s="1036"/>
      <c r="J35" s="1035"/>
      <c r="K35" s="1035"/>
      <c r="L35" s="999"/>
      <c r="M35" s="999"/>
      <c r="N35" s="1035"/>
      <c r="O35" s="1035"/>
      <c r="P35" s="1035"/>
      <c r="Q35" s="982"/>
      <c r="R35" s="982"/>
      <c r="S35" s="1035"/>
      <c r="T35" s="1035"/>
      <c r="U35" s="982"/>
      <c r="V35" s="982"/>
      <c r="W35" s="1035"/>
      <c r="X35" s="1374"/>
      <c r="Y35" s="930"/>
      <c r="Z35" s="999"/>
      <c r="AA35" s="982"/>
      <c r="AB35" s="1035"/>
      <c r="AC35" s="1035"/>
      <c r="AD35" s="1037"/>
      <c r="AE35" s="1037"/>
      <c r="AF35" s="897"/>
      <c r="AG35" s="897"/>
      <c r="AH35" s="1037"/>
      <c r="AI35" s="1037"/>
      <c r="AJ35" s="1035"/>
      <c r="AK35" s="1035"/>
      <c r="AL35" s="1035"/>
      <c r="AM35" s="1035"/>
      <c r="AN35" s="1035"/>
      <c r="AO35" s="1035"/>
      <c r="AP35" s="1069"/>
      <c r="AQ35" s="1069"/>
      <c r="AR35" s="982"/>
      <c r="AS35" s="982"/>
      <c r="AT35" s="982"/>
      <c r="AU35" s="982"/>
      <c r="AV35" s="928"/>
      <c r="AW35" s="928"/>
      <c r="AX35" s="1035"/>
      <c r="AY35" s="1039"/>
      <c r="AZ35" s="1039"/>
      <c r="BA35" s="1039"/>
      <c r="BB35" s="157"/>
      <c r="BC35" s="157"/>
      <c r="BD35" s="1034"/>
    </row>
    <row r="36" spans="1:56" ht="14.25">
      <c r="C36" s="7"/>
      <c r="D36" s="643"/>
      <c r="E36" s="1033"/>
      <c r="F36" s="1034"/>
      <c r="G36" s="917"/>
      <c r="H36" s="1035"/>
      <c r="I36" s="1036"/>
      <c r="J36" s="1035"/>
      <c r="K36" s="1035"/>
      <c r="L36" s="999"/>
      <c r="M36" s="999"/>
      <c r="N36" s="1035"/>
      <c r="O36" s="1035"/>
      <c r="P36" s="1035"/>
      <c r="Q36" s="982"/>
      <c r="R36" s="982"/>
      <c r="S36" s="1035"/>
      <c r="T36" s="1035"/>
      <c r="U36" s="982"/>
      <c r="V36" s="982"/>
      <c r="W36" s="1035"/>
      <c r="X36" s="1374"/>
      <c r="Y36" s="930"/>
      <c r="Z36" s="999"/>
      <c r="AA36" s="982"/>
      <c r="AB36" s="1035"/>
      <c r="AC36" s="1035"/>
      <c r="AD36" s="1037"/>
      <c r="AE36" s="1037"/>
      <c r="AF36" s="897"/>
      <c r="AG36" s="897"/>
      <c r="AH36" s="1037"/>
      <c r="AI36" s="1037"/>
      <c r="AJ36" s="1035"/>
      <c r="AK36" s="1035"/>
      <c r="AL36" s="1035"/>
      <c r="AM36" s="1035"/>
      <c r="AN36" s="1035"/>
      <c r="AO36" s="1035"/>
      <c r="AP36" s="1069"/>
      <c r="AQ36" s="1069"/>
      <c r="AR36" s="982"/>
      <c r="AS36" s="982"/>
      <c r="AT36" s="982"/>
      <c r="AU36" s="982"/>
      <c r="AV36" s="928"/>
      <c r="AW36" s="928"/>
      <c r="AX36" s="1035"/>
      <c r="AY36" s="1039"/>
      <c r="AZ36" s="1039"/>
      <c r="BA36" s="1039"/>
      <c r="BB36" s="157"/>
      <c r="BC36" s="157"/>
      <c r="BD36" s="1034"/>
    </row>
    <row r="37" spans="1:56" ht="12.75" hidden="1" customHeight="1">
      <c r="C37" s="644" t="s">
        <v>342</v>
      </c>
      <c r="D37" s="643"/>
      <c r="E37" s="1040">
        <f t="shared" ref="E37:AV37" si="13">E35+2*E36</f>
        <v>0</v>
      </c>
      <c r="F37" s="1000">
        <f t="shared" si="13"/>
        <v>0</v>
      </c>
      <c r="G37" s="1041">
        <f t="shared" si="13"/>
        <v>0</v>
      </c>
      <c r="H37" s="1042">
        <f t="shared" si="13"/>
        <v>0</v>
      </c>
      <c r="I37" s="1043">
        <f>I35+2*I36</f>
        <v>0</v>
      </c>
      <c r="J37" s="1042">
        <f>J35+2*J36</f>
        <v>0</v>
      </c>
      <c r="K37" s="1042">
        <f t="shared" si="13"/>
        <v>0</v>
      </c>
      <c r="L37" s="1042">
        <f t="shared" si="13"/>
        <v>0</v>
      </c>
      <c r="M37" s="1042">
        <f t="shared" si="13"/>
        <v>0</v>
      </c>
      <c r="N37" s="1042">
        <f t="shared" si="13"/>
        <v>0</v>
      </c>
      <c r="O37" s="1042">
        <f>O35+2*O36</f>
        <v>0</v>
      </c>
      <c r="P37" s="1042">
        <f t="shared" si="13"/>
        <v>0</v>
      </c>
      <c r="Q37" s="1044">
        <f t="shared" si="13"/>
        <v>0</v>
      </c>
      <c r="R37" s="1044">
        <f t="shared" si="13"/>
        <v>0</v>
      </c>
      <c r="S37" s="1042">
        <f t="shared" si="13"/>
        <v>0</v>
      </c>
      <c r="T37" s="1042">
        <f>T35+2*T36</f>
        <v>0</v>
      </c>
      <c r="U37" s="1045">
        <f t="shared" si="13"/>
        <v>0</v>
      </c>
      <c r="V37" s="1045">
        <f>V35+2*V36</f>
        <v>0</v>
      </c>
      <c r="W37" s="1042">
        <v>0</v>
      </c>
      <c r="X37" s="1045">
        <v>0</v>
      </c>
      <c r="Y37" s="1080">
        <f>Y35+2*Y36</f>
        <v>0</v>
      </c>
      <c r="Z37" s="971">
        <f t="shared" si="13"/>
        <v>0</v>
      </c>
      <c r="AA37" s="1046">
        <f t="shared" si="13"/>
        <v>0</v>
      </c>
      <c r="AB37" s="971">
        <f t="shared" si="13"/>
        <v>0</v>
      </c>
      <c r="AC37" s="971">
        <f>AC35+2*AC36</f>
        <v>0</v>
      </c>
      <c r="AD37" s="971">
        <f t="shared" si="13"/>
        <v>0</v>
      </c>
      <c r="AE37" s="971">
        <f>AE35+2*AE36</f>
        <v>0</v>
      </c>
      <c r="AF37" s="971">
        <f t="shared" si="13"/>
        <v>0</v>
      </c>
      <c r="AG37" s="971">
        <f>AG35+2*AG36</f>
        <v>0</v>
      </c>
      <c r="AH37" s="971">
        <f t="shared" si="13"/>
        <v>0</v>
      </c>
      <c r="AI37" s="971">
        <f>AI35+2*AI36</f>
        <v>0</v>
      </c>
      <c r="AJ37" s="971">
        <f t="shared" si="13"/>
        <v>0</v>
      </c>
      <c r="AK37" s="971">
        <f t="shared" si="13"/>
        <v>0</v>
      </c>
      <c r="AL37" s="971">
        <f t="shared" si="13"/>
        <v>0</v>
      </c>
      <c r="AM37" s="971">
        <f t="shared" si="13"/>
        <v>0</v>
      </c>
      <c r="AN37" s="971">
        <f t="shared" si="13"/>
        <v>0</v>
      </c>
      <c r="AO37" s="971">
        <f t="shared" si="13"/>
        <v>0</v>
      </c>
      <c r="AP37" s="1070">
        <f t="shared" si="13"/>
        <v>0</v>
      </c>
      <c r="AQ37" s="1070">
        <f>AQ35+2*AQ36</f>
        <v>0</v>
      </c>
      <c r="AR37" s="1046">
        <f t="shared" si="13"/>
        <v>0</v>
      </c>
      <c r="AS37" s="1046">
        <f>AS35+2*AS36</f>
        <v>0</v>
      </c>
      <c r="AT37" s="1048">
        <f t="shared" si="13"/>
        <v>0</v>
      </c>
      <c r="AU37" s="1048">
        <f>AU35+2*AU36</f>
        <v>0</v>
      </c>
      <c r="AV37" s="1048">
        <f t="shared" si="13"/>
        <v>0</v>
      </c>
      <c r="AW37" s="1048">
        <f>AW35+2*AW36</f>
        <v>0</v>
      </c>
      <c r="AX37" s="971">
        <f>AX35+2*AX36</f>
        <v>0</v>
      </c>
      <c r="AY37" s="971">
        <f>(AY35-ultimoDiaTrim)+2*AY36</f>
        <v>0</v>
      </c>
      <c r="AZ37" s="971">
        <f>(AZ35-ultimoDiaTrim)+2*AZ36</f>
        <v>0</v>
      </c>
      <c r="BA37" s="1049"/>
      <c r="BB37" s="155">
        <f>BB35+2*BB36</f>
        <v>0</v>
      </c>
      <c r="BC37" s="155">
        <f>BC35+2*BC36</f>
        <v>0</v>
      </c>
      <c r="BD37" s="1000">
        <f>BD35+2*BD36</f>
        <v>0</v>
      </c>
    </row>
    <row r="38" spans="1:56" ht="12.75" hidden="1" customHeight="1">
      <c r="C38" s="644" t="s">
        <v>343</v>
      </c>
      <c r="D38" s="643"/>
      <c r="E38" s="1040">
        <f t="shared" ref="E38:AV38" si="14">MIN(0,E35-2*E36)</f>
        <v>0</v>
      </c>
      <c r="F38" s="1000">
        <f t="shared" si="14"/>
        <v>0</v>
      </c>
      <c r="G38" s="1041">
        <f t="shared" si="14"/>
        <v>0</v>
      </c>
      <c r="H38" s="971">
        <f t="shared" si="14"/>
        <v>0</v>
      </c>
      <c r="I38" s="1050">
        <f>MIN(0,I35-2*I36)</f>
        <v>0</v>
      </c>
      <c r="J38" s="971">
        <f>MIN(0,J35-2*J36)</f>
        <v>0</v>
      </c>
      <c r="K38" s="971">
        <f t="shared" si="14"/>
        <v>0</v>
      </c>
      <c r="L38" s="971">
        <f t="shared" si="14"/>
        <v>0</v>
      </c>
      <c r="M38" s="971">
        <f t="shared" si="14"/>
        <v>0</v>
      </c>
      <c r="N38" s="971">
        <f t="shared" si="14"/>
        <v>0</v>
      </c>
      <c r="O38" s="971">
        <f>MIN(0,O35-2*O36)</f>
        <v>0</v>
      </c>
      <c r="P38" s="971">
        <f t="shared" si="14"/>
        <v>0</v>
      </c>
      <c r="Q38" s="1046">
        <f t="shared" si="14"/>
        <v>0</v>
      </c>
      <c r="R38" s="1046">
        <f t="shared" si="14"/>
        <v>0</v>
      </c>
      <c r="S38" s="971">
        <f t="shared" si="14"/>
        <v>0</v>
      </c>
      <c r="T38" s="971">
        <f>MIN(0,T35-2*T36)</f>
        <v>0</v>
      </c>
      <c r="U38" s="1048">
        <f t="shared" si="14"/>
        <v>0</v>
      </c>
      <c r="V38" s="1048">
        <f>MIN(0,V35-2*V36)</f>
        <v>0</v>
      </c>
      <c r="W38" s="971">
        <v>0</v>
      </c>
      <c r="X38" s="1048">
        <v>0</v>
      </c>
      <c r="Y38" s="1081">
        <f>MIN(0,Y35-2*Y36)</f>
        <v>0</v>
      </c>
      <c r="Z38" s="971">
        <f t="shared" si="14"/>
        <v>0</v>
      </c>
      <c r="AA38" s="1046">
        <f t="shared" si="14"/>
        <v>0</v>
      </c>
      <c r="AB38" s="971">
        <f t="shared" si="14"/>
        <v>0</v>
      </c>
      <c r="AC38" s="971">
        <f>MIN(0,AC35-2*AC36)</f>
        <v>0</v>
      </c>
      <c r="AD38" s="971">
        <f t="shared" si="14"/>
        <v>0</v>
      </c>
      <c r="AE38" s="971">
        <f>MIN(0,AE35-2*AE36)</f>
        <v>0</v>
      </c>
      <c r="AF38" s="971">
        <f t="shared" si="14"/>
        <v>0</v>
      </c>
      <c r="AG38" s="971">
        <f>MIN(0,AG35-2*AG36)</f>
        <v>0</v>
      </c>
      <c r="AH38" s="971">
        <f t="shared" si="14"/>
        <v>0</v>
      </c>
      <c r="AI38" s="971">
        <f>MIN(0,AI35-2*AI36)</f>
        <v>0</v>
      </c>
      <c r="AJ38" s="971">
        <f t="shared" si="14"/>
        <v>0</v>
      </c>
      <c r="AK38" s="971">
        <f t="shared" si="14"/>
        <v>0</v>
      </c>
      <c r="AL38" s="971">
        <f t="shared" si="14"/>
        <v>0</v>
      </c>
      <c r="AM38" s="971">
        <f t="shared" si="14"/>
        <v>0</v>
      </c>
      <c r="AN38" s="971">
        <f t="shared" si="14"/>
        <v>0</v>
      </c>
      <c r="AO38" s="971">
        <f t="shared" si="14"/>
        <v>0</v>
      </c>
      <c r="AP38" s="1070">
        <f t="shared" si="14"/>
        <v>0</v>
      </c>
      <c r="AQ38" s="1070">
        <f>MIN(0,AQ35-2*AQ36)</f>
        <v>0</v>
      </c>
      <c r="AR38" s="1046">
        <f t="shared" si="14"/>
        <v>0</v>
      </c>
      <c r="AS38" s="1046">
        <f>MIN(0,AS35-2*AS36)</f>
        <v>0</v>
      </c>
      <c r="AT38" s="1048">
        <f t="shared" si="14"/>
        <v>0</v>
      </c>
      <c r="AU38" s="1048">
        <f>MIN(0,AU35-2*AU36)</f>
        <v>0</v>
      </c>
      <c r="AV38" s="1048">
        <f t="shared" si="14"/>
        <v>0</v>
      </c>
      <c r="AW38" s="1048">
        <f>MIN(0,AW35-2*AW36)</f>
        <v>0</v>
      </c>
      <c r="AX38" s="971">
        <f>MIN(0,AX35-2*AX36)</f>
        <v>0</v>
      </c>
      <c r="AY38" s="971">
        <f>MIN(0,(AY35-ultimoDiaTrim)-2*AY36)</f>
        <v>0</v>
      </c>
      <c r="AZ38" s="971">
        <f>MIN(0,(AZ35-ultimoDiaTrim)-2*AZ36)</f>
        <v>0</v>
      </c>
      <c r="BA38" s="1049"/>
      <c r="BB38" s="156">
        <f>MIN(0,BB35-2*BB36)</f>
        <v>0</v>
      </c>
      <c r="BC38" s="156">
        <f>MIN(0,BC35-2*BC36)</f>
        <v>0</v>
      </c>
      <c r="BD38" s="1000">
        <f>MIN(0,BD35-2*BD36)</f>
        <v>0</v>
      </c>
    </row>
    <row r="39" spans="1:56">
      <c r="C39" s="74"/>
      <c r="D39" s="564"/>
      <c r="W39"/>
      <c r="X39"/>
    </row>
    <row r="42" spans="1:56">
      <c r="C42" s="860" t="str">
        <f>Criterios!A4</f>
        <v>Fecha Informe: 05 abr. 2022</v>
      </c>
      <c r="W42"/>
      <c r="X42"/>
    </row>
    <row r="44" spans="1:56">
      <c r="C44" s="1051"/>
      <c r="D44" s="1052"/>
      <c r="W44"/>
      <c r="X44"/>
    </row>
  </sheetData>
  <sheetProtection algorithmName="SHA-512" hashValue="X/jiQOBBmKk7SL2F+6eG+NdXdAOgXqxN4HwtY5UiUhaI5IrY/GSuy02BhMH2rQ+GyLGNkgQprfm6BwdpXaPHGw==" saltValue="Mc/tgsdV7rkKGojiii20Lg==" spinCount="100000" sheet="1" objects="1" scenarios="1"/>
  <mergeCells count="67">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I6:BI7"/>
    <mergeCell ref="BJ6:BJ7"/>
    <mergeCell ref="BK6:BK7"/>
    <mergeCell ref="BL6:BL7"/>
    <mergeCell ref="AX5:AX7"/>
    <mergeCell ref="AY5:AY7"/>
    <mergeCell ref="BA5:BA7"/>
    <mergeCell ref="BE5:BF5"/>
    <mergeCell ref="BI5:BJ5"/>
    <mergeCell ref="BK5:BL5"/>
    <mergeCell ref="BF6:BF7"/>
    <mergeCell ref="BE6:BE7"/>
    <mergeCell ref="BB5:BB7"/>
    <mergeCell ref="BC5:BC7"/>
    <mergeCell ref="BD5:BD7"/>
    <mergeCell ref="BG5:BH5"/>
    <mergeCell ref="BG6:BG7"/>
    <mergeCell ref="BH6:BH7"/>
    <mergeCell ref="AR5:AR7"/>
    <mergeCell ref="AT5:AT7"/>
    <mergeCell ref="AV5:AV7"/>
    <mergeCell ref="AS5:AS7"/>
    <mergeCell ref="AU5:AU7"/>
    <mergeCell ref="AW5:AW7"/>
    <mergeCell ref="AZ5:AZ7"/>
    <mergeCell ref="AN5:AN7"/>
    <mergeCell ref="AO5:AO7"/>
    <mergeCell ref="AP5:AP7"/>
    <mergeCell ref="AQ5:AQ7"/>
    <mergeCell ref="AJ5:AJ7"/>
    <mergeCell ref="AL5:AL7"/>
    <mergeCell ref="AM5:AM7"/>
    <mergeCell ref="AK5:AK7"/>
  </mergeCells>
  <conditionalFormatting sqref="F9:G9 F10:F13 F16:F22 F25 F28:F29">
    <cfRule type="expression" dxfId="53" priority="124" stopIfTrue="1">
      <formula>IF(F9&lt;&gt;G9,TRUE,FALSE)</formula>
    </cfRule>
  </conditionalFormatting>
  <conditionalFormatting sqref="G10 G25 G13 G16:G22">
    <cfRule type="cellIs" dxfId="52" priority="125" stopIfTrue="1" operator="notBetween">
      <formula>$G$37</formula>
      <formula>$G$38</formula>
    </cfRule>
  </conditionalFormatting>
  <conditionalFormatting sqref="F25 F9:F13 F16:F22">
    <cfRule type="cellIs" dxfId="51" priority="126" stopIfTrue="1" operator="notBetween">
      <formula>$F$37</formula>
      <formula>$F$38</formula>
    </cfRule>
  </conditionalFormatting>
  <conditionalFormatting sqref="BE9:BL13 BE25:BL25 BE16:BL22 BE28:BL29">
    <cfRule type="cellIs" dxfId="50" priority="127" stopIfTrue="1" operator="equal">
      <formula>$A$43</formula>
    </cfRule>
  </conditionalFormatting>
  <conditionalFormatting sqref="BE8:BL8 BE14:BL15 BE23:BL24 BE30:BL31 BE26:BL27">
    <cfRule type="cellIs" dxfId="49" priority="128" stopIfTrue="1" operator="equal">
      <formula>$A$43</formula>
    </cfRule>
  </conditionalFormatting>
  <conditionalFormatting sqref="F28:F29">
    <cfRule type="cellIs" dxfId="48" priority="120" stopIfTrue="1" operator="notBetween">
      <formula>$F$37</formula>
      <formula>$F$38</formula>
    </cfRule>
  </conditionalFormatting>
  <conditionalFormatting sqref="H11">
    <cfRule type="cellIs" dxfId="47" priority="116" stopIfTrue="1" operator="greaterThan">
      <formula>$BF$11</formula>
    </cfRule>
    <cfRule type="cellIs" dxfId="46" priority="117" stopIfTrue="1" operator="lessThan">
      <formula>$BE$11</formula>
    </cfRule>
  </conditionalFormatting>
  <conditionalFormatting sqref="H12">
    <cfRule type="cellIs" dxfId="45" priority="114" stopIfTrue="1" operator="greaterThan">
      <formula>$BF$12</formula>
    </cfRule>
    <cfRule type="cellIs" dxfId="44" priority="115" stopIfTrue="1" operator="lessThan">
      <formula>$BE$12</formula>
    </cfRule>
  </conditionalFormatting>
  <conditionalFormatting sqref="H21">
    <cfRule type="cellIs" dxfId="43" priority="112" stopIfTrue="1" operator="greaterThan">
      <formula>$BF$21</formula>
    </cfRule>
    <cfRule type="cellIs" dxfId="42" priority="113" stopIfTrue="1" operator="lessThan">
      <formula>$BE$21</formula>
    </cfRule>
  </conditionalFormatting>
  <conditionalFormatting sqref="H25 H28:H29 H9:H13 H16:H22">
    <cfRule type="cellIs" dxfId="41" priority="131" stopIfTrue="1" operator="notBetween">
      <formula>$H$37</formula>
      <formula>$H$38</formula>
    </cfRule>
  </conditionalFormatting>
  <conditionalFormatting sqref="K25 K28:K29 K16:K22 K9:K13">
    <cfRule type="cellIs" dxfId="40" priority="111" stopIfTrue="1" operator="notBetween">
      <formula>$K$37</formula>
      <formula>$K$38</formula>
    </cfRule>
  </conditionalFormatting>
  <conditionalFormatting sqref="L25 L9:L13 L28:L29 L16:L22">
    <cfRule type="cellIs" dxfId="39" priority="110" stopIfTrue="1" operator="notBetween">
      <formula>$L$37</formula>
      <formula>$L$38</formula>
    </cfRule>
  </conditionalFormatting>
  <conditionalFormatting sqref="P25 P9:P13 P28:P29 P16:P22">
    <cfRule type="cellIs" dxfId="38" priority="109" stopIfTrue="1" operator="notBetween">
      <formula>$P$37</formula>
      <formula>$P$38</formula>
    </cfRule>
  </conditionalFormatting>
  <conditionalFormatting sqref="R25 R9:R13 R28:R29 R16:R22">
    <cfRule type="cellIs" dxfId="37" priority="107" stopIfTrue="1" operator="notBetween">
      <formula>$R$37</formula>
      <formula>$R$38</formula>
    </cfRule>
  </conditionalFormatting>
  <conditionalFormatting sqref="S25 S28:S29 S9:S13 S16:S22">
    <cfRule type="cellIs" dxfId="36" priority="106" stopIfTrue="1" operator="notBetween">
      <formula>$S$37</formula>
      <formula>$S$38</formula>
    </cfRule>
  </conditionalFormatting>
  <conditionalFormatting sqref="U25 U28:U29 U9:U13 U16:U22">
    <cfRule type="cellIs" dxfId="35" priority="105" stopIfTrue="1" operator="notBetween">
      <formula>$U$37</formula>
      <formula>$U$38</formula>
    </cfRule>
  </conditionalFormatting>
  <conditionalFormatting sqref="Z25 Z28:Z29 Z16:Z22 Z9:Z13">
    <cfRule type="cellIs" dxfId="34" priority="102" stopIfTrue="1" operator="notBetween">
      <formula>$Z$37</formula>
      <formula>$Z$38</formula>
    </cfRule>
  </conditionalFormatting>
  <conditionalFormatting sqref="AA25 AA28:AA29 AA9:AA13 AA16:AA22">
    <cfRule type="cellIs" dxfId="33" priority="101" stopIfTrue="1" operator="notBetween">
      <formula>$AA$37</formula>
      <formula>$AA$38</formula>
    </cfRule>
  </conditionalFormatting>
  <conditionalFormatting sqref="AB25 AB28:AB29 AB9:AB13 AB16:AB22">
    <cfRule type="cellIs" dxfId="32" priority="100" stopIfTrue="1" operator="notBetween">
      <formula>$AB$37</formula>
      <formula>$AB$38</formula>
    </cfRule>
  </conditionalFormatting>
  <conditionalFormatting sqref="AF25 AF28:AF29 AF9:AF13 AF16:AF22">
    <cfRule type="cellIs" dxfId="31" priority="99" stopIfTrue="1" operator="notBetween">
      <formula>$AF$37</formula>
      <formula>$AF$38</formula>
    </cfRule>
  </conditionalFormatting>
  <conditionalFormatting sqref="AH25 AH28:AH29 AH16:AH22 AH9:AH13">
    <cfRule type="cellIs" dxfId="30" priority="98" stopIfTrue="1" operator="notBetween">
      <formula>$AH$37</formula>
      <formula>$AH$38</formula>
    </cfRule>
  </conditionalFormatting>
  <conditionalFormatting sqref="AJ25 AJ28:AJ29 AJ16:AJ22 AJ9:AJ10 AJ12">
    <cfRule type="cellIs" dxfId="29" priority="92" stopIfTrue="1" operator="notBetween">
      <formula>$AJ$37</formula>
      <formula>$AJ$38</formula>
    </cfRule>
  </conditionalFormatting>
  <conditionalFormatting sqref="AK25 AK28:AK29 AK16:AK22 AK9:AK13">
    <cfRule type="cellIs" dxfId="28" priority="91" stopIfTrue="1" operator="notBetween">
      <formula>$AK$37</formula>
      <formula>$AK$38</formula>
    </cfRule>
  </conditionalFormatting>
  <conditionalFormatting sqref="AL25 AL28:AL29 AL16:AL22 AL9:AL13">
    <cfRule type="cellIs" dxfId="27" priority="87" stopIfTrue="1" operator="notBetween">
      <formula>$AL$37</formula>
      <formula>$AL$38</formula>
    </cfRule>
  </conditionalFormatting>
  <conditionalFormatting sqref="AM25 AM9:AM13 AM28:AM29 AM16:AM22">
    <cfRule type="cellIs" dxfId="26" priority="81" stopIfTrue="1" operator="notBetween">
      <formula>$AM$37</formula>
      <formula>$AM$38</formula>
    </cfRule>
  </conditionalFormatting>
  <conditionalFormatting sqref="AN25 AN9:AN13 AN28:AN29 AN16:AN22">
    <cfRule type="cellIs" dxfId="25" priority="80" stopIfTrue="1" operator="notBetween">
      <formula>$AN$37</formula>
      <formula>$AN$38</formula>
    </cfRule>
  </conditionalFormatting>
  <conditionalFormatting sqref="AO25 AO9:AO13 AO28:AO29 AO16:AO22">
    <cfRule type="cellIs" dxfId="24" priority="79" stopIfTrue="1" operator="notBetween">
      <formula>$AO$37</formula>
      <formula>$AO$38</formula>
    </cfRule>
  </conditionalFormatting>
  <conditionalFormatting sqref="AP25 AP28:AP29 AP9:AP13 AP16:AP22">
    <cfRule type="cellIs" dxfId="23" priority="78" stopIfTrue="1" operator="notBetween">
      <formula>$AP$37</formula>
      <formula>$AP$38</formula>
    </cfRule>
  </conditionalFormatting>
  <conditionalFormatting sqref="AR25 AR28:AR29 AR9:AR13 AR16:AR22">
    <cfRule type="cellIs" dxfId="22" priority="76" stopIfTrue="1" operator="notBetween">
      <formula>$AR$37</formula>
      <formula>$AR$38</formula>
    </cfRule>
  </conditionalFormatting>
  <conditionalFormatting sqref="AT25 AT28:AT29 AT16:AT22 AT9:AT13">
    <cfRule type="cellIs" dxfId="21" priority="75" stopIfTrue="1" operator="notBetween">
      <formula>$AT$37</formula>
      <formula>$AT$38</formula>
    </cfRule>
  </conditionalFormatting>
  <conditionalFormatting sqref="AV25 AV28:AV29 AV9:AV13 AV16:AV22">
    <cfRule type="cellIs" dxfId="20" priority="73" stopIfTrue="1" operator="notBetween">
      <formula>$AV$37</formula>
      <formula>$AV$38</formula>
    </cfRule>
  </conditionalFormatting>
  <conditionalFormatting sqref="AX25 AX28:AX29 AX16:AX22 AX9:AX13">
    <cfRule type="cellIs" dxfId="19" priority="72" stopIfTrue="1" operator="notBetween">
      <formula>$AX$37</formula>
      <formula>$AX$38</formula>
    </cfRule>
  </conditionalFormatting>
  <conditionalFormatting sqref="N25 N9:N13 N28:N29 N16:N22">
    <cfRule type="cellIs" dxfId="18" priority="68" stopIfTrue="1" operator="notBetween">
      <formula>$N$37</formula>
      <formula>$N$38</formula>
    </cfRule>
  </conditionalFormatting>
  <conditionalFormatting sqref="I16:I22 I25 I28:I29 I9:I13">
    <cfRule type="cellIs" dxfId="17" priority="59" stopIfTrue="1" operator="notBetween">
      <formula>$I$37</formula>
      <formula>$I$38</formula>
    </cfRule>
  </conditionalFormatting>
  <conditionalFormatting sqref="Y25 Y28:Y29 Y9:Y13 Y16:Y22">
    <cfRule type="cellIs" dxfId="16" priority="57" stopIfTrue="1" operator="notBetween">
      <formula>$Y$37</formula>
      <formula>$Y$38</formula>
    </cfRule>
  </conditionalFormatting>
  <conditionalFormatting sqref="AD25 AD9:AD13 AD28:AD29 AD16:AD22">
    <cfRule type="cellIs" dxfId="15" priority="47" stopIfTrue="1" operator="notBetween">
      <formula>$AD$37</formula>
      <formula>$AD$38</formula>
    </cfRule>
  </conditionalFormatting>
  <conditionalFormatting sqref="J25 J28:J29 J16:J22 J9:J13">
    <cfRule type="cellIs" dxfId="14" priority="43" stopIfTrue="1" operator="notBetween">
      <formula>$J$37</formula>
      <formula>$J$38</formula>
    </cfRule>
  </conditionalFormatting>
  <conditionalFormatting sqref="O25 O28:O29 O9:O13 O16:O22">
    <cfRule type="cellIs" dxfId="13" priority="42" stopIfTrue="1" operator="notBetween">
      <formula>$O$37</formula>
      <formula>$O$38</formula>
    </cfRule>
  </conditionalFormatting>
  <conditionalFormatting sqref="T25 T28:T29 T16:T22 T9:T13">
    <cfRule type="cellIs" dxfId="12" priority="41" stopIfTrue="1" operator="notBetween">
      <formula>$T$37</formula>
      <formula>$T$38</formula>
    </cfRule>
  </conditionalFormatting>
  <conditionalFormatting sqref="V25 V28:V29 V16:V22 V9:V13">
    <cfRule type="cellIs" dxfId="11" priority="40" stopIfTrue="1" operator="notBetween">
      <formula>$V$37</formula>
      <formula>$V$38</formula>
    </cfRule>
  </conditionalFormatting>
  <conditionalFormatting sqref="AC25 AC28:AC29 AC9:AC13 AC16:AC22">
    <cfRule type="cellIs" dxfId="10" priority="35" stopIfTrue="1" operator="notBetween">
      <formula>$AC$37</formula>
      <formula>$AC$38</formula>
    </cfRule>
  </conditionalFormatting>
  <conditionalFormatting sqref="AE25 AE9:AE13 AE28:AE29 AE16:AE22">
    <cfRule type="cellIs" dxfId="9" priority="34" stopIfTrue="1" operator="notBetween">
      <formula>$AE$37</formula>
      <formula>$AE$38</formula>
    </cfRule>
  </conditionalFormatting>
  <conditionalFormatting sqref="AG25 AG28:AG29 AG16:AG22 AG9:AG13">
    <cfRule type="cellIs" dxfId="8" priority="33" stopIfTrue="1" operator="notBetween">
      <formula>$AG$37</formula>
      <formula>$AG$38</formula>
    </cfRule>
  </conditionalFormatting>
  <conditionalFormatting sqref="AI25 AI28:AI29 AI16:AI22 AI9:AI13">
    <cfRule type="cellIs" dxfId="7" priority="32" stopIfTrue="1" operator="notBetween">
      <formula>$AI$37</formula>
      <formula>$AI$38</formula>
    </cfRule>
  </conditionalFormatting>
  <conditionalFormatting sqref="AQ25 AQ28:AQ29 AQ16:AQ22 AQ9:AQ13">
    <cfRule type="cellIs" dxfId="6" priority="28" stopIfTrue="1" operator="notBetween">
      <formula>$AQ$37</formula>
      <formula>$AQ$38</formula>
    </cfRule>
  </conditionalFormatting>
  <conditionalFormatting sqref="AS25 AS28:AS29 AS16:AS22 AS9:AS13">
    <cfRule type="cellIs" dxfId="5" priority="27" stopIfTrue="1" operator="notBetween">
      <formula>$AS$37</formula>
      <formula>$AS$38</formula>
    </cfRule>
  </conditionalFormatting>
  <conditionalFormatting sqref="AW25 AW28:AW29 AW9:AW13 AW16:AW22">
    <cfRule type="cellIs" dxfId="4" priority="14" stopIfTrue="1" operator="notBetween">
      <formula>$AW$37</formula>
      <formula>$AW$38</formula>
    </cfRule>
  </conditionalFormatting>
  <conditionalFormatting sqref="AU16:AU22 AU8:AU13 AU25 AU28:AU29">
    <cfRule type="cellIs" dxfId="3" priority="13" stopIfTrue="1" operator="notBetween">
      <formula>$AU$37</formula>
      <formula>$AU$38</formula>
    </cfRule>
  </conditionalFormatting>
  <conditionalFormatting sqref="E9:E13">
    <cfRule type="cellIs" dxfId="2" priority="3650" stopIfTrue="1" operator="notBetween">
      <formula>$E$37</formula>
      <formula>$E$38</formula>
    </cfRule>
  </conditionalFormatting>
  <conditionalFormatting sqref="AY27:AY29 AY24:AY25 AY15:AY22 AY9:AY13">
    <cfRule type="expression" dxfId="1" priority="4684" stopIfTrue="1">
      <formula>NOT(AND($AY9-ultimoDiaTrim&gt;=$AY$38,$AY9-ultimoDiaTrim&lt;=$AY$37))</formula>
    </cfRule>
  </conditionalFormatting>
  <conditionalFormatting sqref="AZ27:AZ29 AZ24:AZ25 AZ15:AZ22 AZ9:AZ13">
    <cfRule type="expression" dxfId="0" priority="4688" stopIfTrue="1">
      <formula>NOT(AND($AZ9-ultimoDiaTrim&gt;=$AZ$38,$AZ9-ultimoDiaTrim&lt;=$AZ$37))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39"/>
  <sheetViews>
    <sheetView zoomScale="85" zoomScaleNormal="85" workbookViewId="0"/>
  </sheetViews>
  <sheetFormatPr baseColWidth="10" defaultColWidth="11.42578125" defaultRowHeight="12.75"/>
  <cols>
    <col min="1" max="1" width="33.5703125" style="436" customWidth="1"/>
    <col min="2" max="2" width="11.28515625" style="436" customWidth="1"/>
    <col min="3" max="3" width="11" style="436" customWidth="1"/>
    <col min="4" max="4" width="9.42578125" style="436" hidden="1" customWidth="1"/>
    <col min="5" max="5" width="9.7109375" style="436" hidden="1" customWidth="1"/>
    <col min="6" max="6" width="13" style="436" hidden="1" customWidth="1"/>
    <col min="7" max="7" width="14.85546875" style="436" customWidth="1"/>
    <col min="8" max="8" width="15.140625" style="436" customWidth="1"/>
    <col min="9" max="9" width="12.7109375" style="436" customWidth="1"/>
    <col min="10" max="10" width="13" style="436" bestFit="1" customWidth="1"/>
    <col min="11" max="11" width="10.5703125" style="436" customWidth="1"/>
    <col min="12" max="12" width="13" style="436" customWidth="1"/>
    <col min="13" max="16" width="11.42578125" style="437"/>
    <col min="17" max="16384" width="11.42578125" style="436"/>
  </cols>
  <sheetData>
    <row r="1" spans="1:15" ht="108" customHeight="1"/>
    <row r="2" spans="1:15">
      <c r="A2" s="437"/>
      <c r="B2" s="438" t="str">
        <f>Criterios!A9 &amp;"  "&amp;Criterios!B9</f>
        <v>Tribunales de Justicia  ANDALUCIA</v>
      </c>
      <c r="C2" s="437"/>
      <c r="E2" s="437"/>
      <c r="F2" s="437"/>
      <c r="G2" s="437"/>
      <c r="H2" s="437"/>
    </row>
    <row r="3" spans="1:15" ht="39">
      <c r="A3" s="464" t="s">
        <v>283</v>
      </c>
      <c r="B3" s="440" t="str">
        <f>Criterios!A10 &amp;"  "&amp;Criterios!B10</f>
        <v>Provincias  MALAGA</v>
      </c>
      <c r="C3" s="464"/>
      <c r="F3" s="437"/>
      <c r="G3" s="437"/>
      <c r="H3" s="437"/>
    </row>
    <row r="4" spans="1:15" ht="13.5" thickBot="1">
      <c r="A4" s="437"/>
      <c r="B4" s="440" t="str">
        <f>Criterios!A11 &amp;"  "&amp;Criterios!B11</f>
        <v>Resumenes por Partidos Judiciales  MALAGA</v>
      </c>
      <c r="C4" s="437"/>
      <c r="E4" s="437"/>
      <c r="F4" s="437"/>
      <c r="G4" s="437"/>
      <c r="H4" s="437"/>
    </row>
    <row r="5" spans="1:15" ht="15.75" customHeight="1">
      <c r="A5" s="1565" t="str">
        <f>"Año:  " &amp;Criterios!B5</f>
        <v>Año:  2021</v>
      </c>
      <c r="B5" s="1555" t="s">
        <v>270</v>
      </c>
      <c r="C5" s="1568"/>
      <c r="D5" s="1555" t="s">
        <v>287</v>
      </c>
      <c r="E5" s="1573"/>
      <c r="F5" s="1568"/>
      <c r="G5" s="1555" t="s">
        <v>272</v>
      </c>
      <c r="H5" s="1556"/>
      <c r="I5" s="1555" t="s">
        <v>273</v>
      </c>
      <c r="J5" s="1556"/>
      <c r="K5" s="1555" t="s">
        <v>274</v>
      </c>
      <c r="L5" s="1567"/>
      <c r="M5" s="1568"/>
    </row>
    <row r="6" spans="1:15" ht="21.75" customHeight="1" thickBot="1">
      <c r="A6" s="1566"/>
      <c r="B6" s="1571"/>
      <c r="C6" s="1572"/>
      <c r="D6" s="1574"/>
      <c r="E6" s="1575"/>
      <c r="F6" s="1576"/>
      <c r="G6" s="1557"/>
      <c r="H6" s="1558"/>
      <c r="I6" s="1557"/>
      <c r="J6" s="1558"/>
      <c r="K6" s="1557"/>
      <c r="L6" s="1569"/>
      <c r="M6" s="1570"/>
    </row>
    <row r="7" spans="1:15" ht="38.25" customHeight="1" thickTop="1" thickBot="1">
      <c r="A7" s="441" t="str">
        <f>Datos!A7</f>
        <v>COMPETENCIAS</v>
      </c>
      <c r="B7" s="465" t="s">
        <v>154</v>
      </c>
      <c r="C7" s="465" t="s">
        <v>271</v>
      </c>
      <c r="D7" s="465" t="s">
        <v>154</v>
      </c>
      <c r="E7" s="465" t="s">
        <v>271</v>
      </c>
      <c r="F7" s="444" t="s">
        <v>11</v>
      </c>
      <c r="G7" s="465" t="s">
        <v>154</v>
      </c>
      <c r="H7" s="465" t="s">
        <v>275</v>
      </c>
      <c r="I7" s="465" t="s">
        <v>154</v>
      </c>
      <c r="J7" s="465" t="s">
        <v>275</v>
      </c>
      <c r="K7" s="465" t="s">
        <v>154</v>
      </c>
      <c r="L7" s="466" t="s">
        <v>275</v>
      </c>
      <c r="M7" s="466" t="s">
        <v>284</v>
      </c>
    </row>
    <row r="8" spans="1:15">
      <c r="A8" s="445" t="str">
        <f>Datos!A8</f>
        <v>Jurisdicción Civil ( 1 ):</v>
      </c>
      <c r="B8" s="467"/>
      <c r="C8" s="467"/>
      <c r="D8" s="446"/>
      <c r="E8" s="447"/>
      <c r="F8" s="448"/>
      <c r="G8" s="447"/>
      <c r="H8" s="448"/>
      <c r="I8" s="447"/>
      <c r="J8" s="448"/>
      <c r="K8" s="447"/>
      <c r="L8" s="448"/>
      <c r="M8" s="468"/>
    </row>
    <row r="9" spans="1:15">
      <c r="A9" s="451" t="str">
        <f>Datos!A9</f>
        <v xml:space="preserve">Jdos. 1ª Instancia   </v>
      </c>
      <c r="B9" s="452">
        <f>Datos!BL9</f>
        <v>0</v>
      </c>
      <c r="C9" s="452">
        <f>Datos!AR9</f>
        <v>17</v>
      </c>
      <c r="D9" s="452">
        <f>Datos!BK9</f>
        <v>0</v>
      </c>
      <c r="E9" s="452">
        <f>Datos!AQ9</f>
        <v>17</v>
      </c>
      <c r="F9" s="453">
        <f>IF(ISNUMBER(E9/Datos!BH9),E9/Datos!BH9," - ")</f>
        <v>1</v>
      </c>
      <c r="G9" s="452" t="str">
        <f>IF(ISNUMBER(Datos!BJ9),Datos!BJ9," - ")</f>
        <v xml:space="preserve"> - </v>
      </c>
      <c r="H9" s="452" t="str">
        <f>IF(ISNUMBER(Datos!AS9),Datos!AS9," - ")</f>
        <v xml:space="preserve"> - </v>
      </c>
      <c r="I9" s="453" t="str">
        <f>IF(ISNUMBER(G9/D9),G9/D9," - ")</f>
        <v xml:space="preserve"> - </v>
      </c>
      <c r="J9" s="453" t="str">
        <f>IF(ISNUMBER(H9/E9),H9/E9," - ")</f>
        <v xml:space="preserve"> - </v>
      </c>
      <c r="K9" s="469" t="str">
        <f>IF(AND(ISNUMBER(I9/Datos!ER9),(G9&lt;&gt;0)),((I9-Datos!ER9)/Datos!ER9)," - ")</f>
        <v xml:space="preserve"> - </v>
      </c>
      <c r="L9" s="469" t="str">
        <f>IF(AND(ISNUMBER(J9/Datos!ER9),(H9&lt;&gt;0)),((J9-Datos!ER9)/Datos!ER9)," - ")</f>
        <v xml:space="preserve"> - </v>
      </c>
      <c r="M9" s="470">
        <f>IF(EXACT(Datos!ER9,""),"-",Datos!ER9)</f>
        <v>1200</v>
      </c>
      <c r="O9" s="471"/>
    </row>
    <row r="10" spans="1:15">
      <c r="A10" s="451" t="str">
        <f>Datos!A10</f>
        <v>Jdos. Violencia contra la mujer</v>
      </c>
      <c r="B10" s="452">
        <f>Datos!BL10</f>
        <v>0</v>
      </c>
      <c r="C10" s="452">
        <f>Datos!AR10</f>
        <v>3</v>
      </c>
      <c r="D10" s="452">
        <f>Datos!BK10</f>
        <v>0</v>
      </c>
      <c r="E10" s="452">
        <f>Datos!AQ10</f>
        <v>3</v>
      </c>
      <c r="F10" s="453">
        <f>IF(ISNUMBER(E10/Datos!BH10),E10/Datos!BH10," - ")</f>
        <v>1</v>
      </c>
      <c r="G10" s="452" t="str">
        <f>IF(ISNUMBER(Datos!BJ10),Datos!BJ10," - ")</f>
        <v xml:space="preserve"> - </v>
      </c>
      <c r="H10" s="452" t="str">
        <f>IF(ISNUMBER(Datos!AS10),Datos!AS10," - ")</f>
        <v xml:space="preserve"> - </v>
      </c>
      <c r="I10" s="453" t="str">
        <f t="shared" ref="I10:I13" si="0">IF(ISNUMBER(G10/D10),G10/D10," - ")</f>
        <v xml:space="preserve"> - </v>
      </c>
      <c r="J10" s="453" t="str">
        <f t="shared" ref="J10:J13" si="1">IF(ISNUMBER(H10/E10),H10/E10," - ")</f>
        <v xml:space="preserve"> - </v>
      </c>
      <c r="K10" s="469" t="str">
        <f>IF(AND(ISNUMBER(I10/Datos!ER10),(G10&lt;&gt;0)),((I10-Datos!ER10)/Datos!ER10)," - ")</f>
        <v xml:space="preserve"> - </v>
      </c>
      <c r="L10" s="469" t="str">
        <f>IF(AND(ISNUMBER(J10/Datos!ER10),(H10&lt;&gt;0)),((J10-Datos!ER10)/Datos!ER10)," - ")</f>
        <v xml:space="preserve"> - </v>
      </c>
      <c r="M10" s="470">
        <f>IF(EXACT(Datos!ER10,""),"-",Datos!ER10)</f>
        <v>1600</v>
      </c>
    </row>
    <row r="11" spans="1:15">
      <c r="A11" s="451" t="str">
        <f>Datos!A11</f>
        <v xml:space="preserve">Jdos. Familia                                   </v>
      </c>
      <c r="B11" s="452">
        <f>Datos!BL11</f>
        <v>0</v>
      </c>
      <c r="C11" s="452">
        <f>Datos!AR11</f>
        <v>4</v>
      </c>
      <c r="D11" s="452">
        <f>Datos!BK11</f>
        <v>0</v>
      </c>
      <c r="E11" s="452">
        <f>Datos!AQ11</f>
        <v>4</v>
      </c>
      <c r="F11" s="453">
        <f>IF(ISNUMBER(E11/Datos!BH11),E11/Datos!BH11," - ")</f>
        <v>1</v>
      </c>
      <c r="G11" s="452" t="str">
        <f>IF(ISNUMBER(Datos!BJ11),Datos!BJ11," - ")</f>
        <v xml:space="preserve"> - </v>
      </c>
      <c r="H11" s="452" t="str">
        <f>IF(ISNUMBER(Datos!AS11),Datos!AS11," - ")</f>
        <v xml:space="preserve"> - </v>
      </c>
      <c r="I11" s="453" t="str">
        <f t="shared" si="0"/>
        <v xml:space="preserve"> - </v>
      </c>
      <c r="J11" s="453" t="str">
        <f t="shared" si="1"/>
        <v xml:space="preserve"> - </v>
      </c>
      <c r="K11" s="469" t="str">
        <f>IF(AND(ISNUMBER(I11/Datos!ER11),(G11&lt;&gt;0)),((I11-Datos!ER11)/Datos!ER11)," - ")</f>
        <v xml:space="preserve"> - </v>
      </c>
      <c r="L11" s="469" t="str">
        <f>IF(AND(ISNUMBER(J11/Datos!ER11),(H11&lt;&gt;0)),((J11-Datos!ER11)/Datos!ER11)," - ")</f>
        <v xml:space="preserve"> - </v>
      </c>
      <c r="M11" s="470">
        <f>IF(EXACT(Datos!ER11,""),"-",Datos!ER11)</f>
        <v>1323</v>
      </c>
    </row>
    <row r="12" spans="1:15">
      <c r="A12" s="451" t="str">
        <f>Datos!A12</f>
        <v xml:space="preserve">Jdos. 1ª Instª. e Instr.                        </v>
      </c>
      <c r="B12" s="452">
        <f>Datos!BL12</f>
        <v>0</v>
      </c>
      <c r="C12" s="452">
        <f>Datos!AR12</f>
        <v>0</v>
      </c>
      <c r="D12" s="452">
        <f>Datos!BK12</f>
        <v>0</v>
      </c>
      <c r="E12" s="452">
        <f>Datos!AQ12</f>
        <v>0</v>
      </c>
      <c r="F12" s="453" t="str">
        <f>IF(ISNUMBER(E12/Datos!BH12),E12/Datos!BH12," - ")</f>
        <v xml:space="preserve"> - </v>
      </c>
      <c r="G12" s="452" t="str">
        <f>IF(ISNUMBER(Datos!BJ12),Datos!BJ12," - ")</f>
        <v xml:space="preserve"> - </v>
      </c>
      <c r="H12" s="452" t="str">
        <f>IF(ISNUMBER(Datos!AS12),Datos!AS12," - ")</f>
        <v xml:space="preserve"> - </v>
      </c>
      <c r="I12" s="453" t="str">
        <f t="shared" si="0"/>
        <v xml:space="preserve"> - </v>
      </c>
      <c r="J12" s="453" t="str">
        <f t="shared" si="1"/>
        <v xml:space="preserve"> - </v>
      </c>
      <c r="K12" s="469" t="str">
        <f>IF(AND(ISNUMBER(I12/Datos!ER12),(G12&lt;&gt;0)),((I12-Datos!ER12)/Datos!ER12)," - ")</f>
        <v xml:space="preserve"> - </v>
      </c>
      <c r="L12" s="469" t="str">
        <f>IF(AND(ISNUMBER(J12/Datos!ER12),(H12&lt;&gt;0)),((J12-Datos!ER12)/Datos!ER12)," - ")</f>
        <v xml:space="preserve"> - </v>
      </c>
      <c r="M12" s="470">
        <f>IF(EXACT(Datos!ER12,""),"-",Datos!ER12)</f>
        <v>680</v>
      </c>
    </row>
    <row r="13" spans="1:15" ht="13.5" thickBot="1">
      <c r="A13" s="451" t="str">
        <f>Datos!A13</f>
        <v xml:space="preserve">Jdos. de Menores    </v>
      </c>
      <c r="B13" s="452">
        <f>Datos!BL13</f>
        <v>0</v>
      </c>
      <c r="C13" s="452">
        <f>Datos!AR13</f>
        <v>0</v>
      </c>
      <c r="D13" s="452">
        <f>Datos!BK13</f>
        <v>0</v>
      </c>
      <c r="E13" s="452">
        <f>Datos!AQ13</f>
        <v>0</v>
      </c>
      <c r="F13" s="453" t="str">
        <f>IF(ISNUMBER(E13/Datos!BH13),E13/Datos!BH13," - ")</f>
        <v xml:space="preserve"> - </v>
      </c>
      <c r="G13" s="452" t="str">
        <f>IF(ISNUMBER(Datos!BJ13),Datos!BJ13," - ")</f>
        <v xml:space="preserve"> - </v>
      </c>
      <c r="H13" s="452" t="str">
        <f>IF(ISNUMBER(Datos!AS13),Datos!AS13," - ")</f>
        <v xml:space="preserve"> - </v>
      </c>
      <c r="I13" s="453" t="str">
        <f t="shared" si="0"/>
        <v xml:space="preserve"> - </v>
      </c>
      <c r="J13" s="453" t="str">
        <f t="shared" si="1"/>
        <v xml:space="preserve"> - </v>
      </c>
      <c r="K13" s="469" t="str">
        <f>IF(AND(ISNUMBER(I13/Datos!ER13),(G13&lt;&gt;0)),((I13-Datos!ER13)/Datos!ER13)," - ")</f>
        <v xml:space="preserve"> - </v>
      </c>
      <c r="L13" s="469" t="str">
        <f>IF(AND(ISNUMBER(J13/Datos!ER13),(H13&lt;&gt;0)),((J13-Datos!ER13)/Datos!ER13)," - ")</f>
        <v xml:space="preserve"> - </v>
      </c>
      <c r="M13" s="470">
        <f>IF(EXACT(Datos!ER13,""),"-",Datos!ER13)</f>
        <v>875</v>
      </c>
    </row>
    <row r="14" spans="1:15" ht="14.25" thickTop="1" thickBot="1">
      <c r="A14" s="1148"/>
      <c r="B14" s="1152"/>
      <c r="C14" s="1152"/>
      <c r="D14" s="1149"/>
      <c r="E14" s="1149"/>
      <c r="F14" s="1150"/>
      <c r="G14" s="1149"/>
      <c r="H14" s="1150"/>
      <c r="I14" s="1149"/>
      <c r="J14" s="1150"/>
      <c r="K14" s="1149"/>
      <c r="L14" s="1150"/>
      <c r="M14" s="1150"/>
    </row>
    <row r="15" spans="1:15" ht="13.5" thickTop="1">
      <c r="A15" s="445" t="str">
        <f>Datos!A15</f>
        <v xml:space="preserve">Jurisdicción Penal ( 2 ):                      </v>
      </c>
      <c r="B15" s="467"/>
      <c r="C15" s="467"/>
      <c r="D15" s="455"/>
      <c r="E15" s="455"/>
      <c r="F15" s="456"/>
      <c r="G15" s="455"/>
      <c r="H15" s="456"/>
      <c r="I15" s="455"/>
      <c r="J15" s="456"/>
      <c r="K15" s="455"/>
      <c r="L15" s="456"/>
      <c r="M15" s="472"/>
    </row>
    <row r="16" spans="1:15">
      <c r="A16" s="451" t="str">
        <f>Datos!A16</f>
        <v xml:space="preserve">Jdos. Instrucción                               </v>
      </c>
      <c r="B16" s="452">
        <f>Datos!BL16</f>
        <v>0</v>
      </c>
      <c r="C16" s="452">
        <f>Datos!AR16</f>
        <v>14</v>
      </c>
      <c r="D16" s="452">
        <f>Datos!BK16</f>
        <v>0</v>
      </c>
      <c r="E16" s="452">
        <f>Datos!AQ16</f>
        <v>14</v>
      </c>
      <c r="F16" s="453">
        <f>IF(ISNUMBER(E16/Datos!BH16),E16/Datos!BH16," - ")</f>
        <v>1</v>
      </c>
      <c r="G16" s="452" t="str">
        <f>IF(ISNUMBER(Datos!BJ16),Datos!BJ16," - ")</f>
        <v xml:space="preserve"> - </v>
      </c>
      <c r="H16" s="452" t="str">
        <f>IF(ISNUMBER(Datos!AS16),Datos!AS16," - ")</f>
        <v xml:space="preserve"> - </v>
      </c>
      <c r="I16" s="453" t="str">
        <f t="shared" ref="I16:I22" si="2">IF(ISNUMBER(G16/D16),G16/D16," - ")</f>
        <v xml:space="preserve"> - </v>
      </c>
      <c r="J16" s="453" t="str">
        <f t="shared" ref="J16:J22" si="3">IF(ISNUMBER(H16/E16),H16/E16," - ")</f>
        <v xml:space="preserve"> - </v>
      </c>
      <c r="K16" s="469" t="str">
        <f>IF(AND(ISNUMBER(I16/Datos!ER16),(G16&lt;&gt;0)),((I16-Datos!ER16)/Datos!ER16)," - ")</f>
        <v xml:space="preserve"> - </v>
      </c>
      <c r="L16" s="469" t="str">
        <f>IF(AND(ISNUMBER(J16/Datos!ER16),(H16&lt;&gt;0)),((J16-Datos!ER16)/Datos!ER16)," - ")</f>
        <v xml:space="preserve"> - </v>
      </c>
      <c r="M16" s="470">
        <f>IF(EXACT(Datos!ER16,""),"-",Datos!ER16)</f>
        <v>3300</v>
      </c>
    </row>
    <row r="17" spans="1:13">
      <c r="A17" s="451" t="str">
        <f>Datos!A17</f>
        <v xml:space="preserve">Jdos. 1ª Instª. e Instr.                        </v>
      </c>
      <c r="B17" s="452">
        <f>Datos!BL17</f>
        <v>0</v>
      </c>
      <c r="C17" s="452">
        <f>Datos!AR17</f>
        <v>0</v>
      </c>
      <c r="D17" s="452">
        <f>Datos!BK17</f>
        <v>0</v>
      </c>
      <c r="E17" s="452">
        <f>Datos!AQ17</f>
        <v>0</v>
      </c>
      <c r="F17" s="453" t="str">
        <f>IF(ISNUMBER(E17/Datos!BH17),E17/Datos!BH17," - ")</f>
        <v xml:space="preserve"> - </v>
      </c>
      <c r="G17" s="452" t="str">
        <f>IF(ISNUMBER(Datos!BJ17),Datos!BJ17," - ")</f>
        <v xml:space="preserve"> - </v>
      </c>
      <c r="H17" s="452" t="str">
        <f>IF(ISNUMBER(Datos!AS17),Datos!AS17," - ")</f>
        <v xml:space="preserve"> - </v>
      </c>
      <c r="I17" s="453" t="str">
        <f t="shared" si="2"/>
        <v xml:space="preserve"> - </v>
      </c>
      <c r="J17" s="453" t="str">
        <f t="shared" si="3"/>
        <v xml:space="preserve"> - </v>
      </c>
      <c r="K17" s="469" t="str">
        <f>IF(AND(ISNUMBER(I17/Datos!ER17),(G17&lt;&gt;0)),((I17-Datos!ER17)/Datos!ER17)," - ")</f>
        <v xml:space="preserve"> - </v>
      </c>
      <c r="L17" s="469" t="str">
        <f>IF(AND(ISNUMBER(J17/Datos!ER17),(H17&lt;&gt;0)),((J17-Datos!ER17)/Datos!ER17)," - ")</f>
        <v xml:space="preserve"> - </v>
      </c>
      <c r="M17" s="470">
        <f>IF(EXACT(Datos!ER17,""),"-",Datos!ER17)</f>
        <v>1000</v>
      </c>
    </row>
    <row r="18" spans="1:13">
      <c r="A18" s="451" t="str">
        <f>Datos!A18</f>
        <v>Jdos. Violencia contra la mujer</v>
      </c>
      <c r="B18" s="452">
        <f>Datos!BL18</f>
        <v>0</v>
      </c>
      <c r="C18" s="452">
        <f>Datos!AR18</f>
        <v>3</v>
      </c>
      <c r="D18" s="452">
        <f>Datos!BK18</f>
        <v>0</v>
      </c>
      <c r="E18" s="452">
        <f>Datos!AQ18</f>
        <v>3</v>
      </c>
      <c r="F18" s="453">
        <f>IF(ISNUMBER(E18/Datos!BH18),E18/Datos!BH18," - ")</f>
        <v>1</v>
      </c>
      <c r="G18" s="452" t="str">
        <f>IF(ISNUMBER(Datos!BJ18),Datos!BJ18," - ")</f>
        <v xml:space="preserve"> - </v>
      </c>
      <c r="H18" s="452" t="str">
        <f>IF(ISNUMBER(Datos!AS18),Datos!AS18," - ")</f>
        <v xml:space="preserve"> - </v>
      </c>
      <c r="I18" s="453" t="str">
        <f t="shared" si="2"/>
        <v xml:space="preserve"> - </v>
      </c>
      <c r="J18" s="453" t="str">
        <f t="shared" si="3"/>
        <v xml:space="preserve"> - </v>
      </c>
      <c r="K18" s="469" t="str">
        <f>IF(AND(ISNUMBER(I18/Datos!ER18),(G18&lt;&gt;0)),((I18-Datos!ER18)/Datos!ER18)," - ")</f>
        <v xml:space="preserve"> - </v>
      </c>
      <c r="L18" s="469" t="str">
        <f>IF(AND(ISNUMBER(J18/Datos!ER18),(H18&lt;&gt;0)),((J18-Datos!ER18)/Datos!ER18)," - ")</f>
        <v xml:space="preserve"> - </v>
      </c>
      <c r="M18" s="470">
        <f>IF(EXACT(Datos!ER18,""),"-",Datos!ER18)</f>
        <v>1600</v>
      </c>
    </row>
    <row r="19" spans="1:13">
      <c r="A19" s="451" t="str">
        <f>Datos!A19</f>
        <v xml:space="preserve">Jdos. de Menores                                </v>
      </c>
      <c r="B19" s="452">
        <f>Datos!BL19</f>
        <v>0</v>
      </c>
      <c r="C19" s="452">
        <f>Datos!AR19</f>
        <v>0</v>
      </c>
      <c r="D19" s="452">
        <f>Datos!BK19</f>
        <v>0</v>
      </c>
      <c r="E19" s="452">
        <f>Datos!AQ19</f>
        <v>0</v>
      </c>
      <c r="F19" s="453" t="str">
        <f>IF(ISNUMBER(E19/Datos!BH19),E19/Datos!BH19," - ")</f>
        <v xml:space="preserve"> - </v>
      </c>
      <c r="G19" s="452" t="str">
        <f>IF(ISNUMBER(Datos!BJ19),Datos!BJ19," - ")</f>
        <v xml:space="preserve"> - </v>
      </c>
      <c r="H19" s="452" t="str">
        <f>IF(ISNUMBER(Datos!AS19),Datos!AS19," - ")</f>
        <v xml:space="preserve"> - </v>
      </c>
      <c r="I19" s="453" t="str">
        <f t="shared" si="2"/>
        <v xml:space="preserve"> - </v>
      </c>
      <c r="J19" s="453" t="str">
        <f t="shared" si="3"/>
        <v xml:space="preserve"> - </v>
      </c>
      <c r="K19" s="469" t="str">
        <f>IF(AND(ISNUMBER(I19/Datos!ER19),(G19&lt;&gt;0)),((I19-Datos!ER19)/Datos!ER19)," - ")</f>
        <v xml:space="preserve"> - </v>
      </c>
      <c r="L19" s="469" t="str">
        <f>IF(AND(ISNUMBER(J19/Datos!ER19),(H19&lt;&gt;0)),((J19-Datos!ER19)/Datos!ER19)," - ")</f>
        <v xml:space="preserve"> - </v>
      </c>
      <c r="M19" s="470">
        <f>IF(EXACT(Datos!ER19,""),"-",Datos!ER19)</f>
        <v>875</v>
      </c>
    </row>
    <row r="20" spans="1:13">
      <c r="A20" s="451" t="str">
        <f>Datos!A20</f>
        <v xml:space="preserve">Jdos. Vigilancia Penitenciaria                  </v>
      </c>
      <c r="B20" s="452">
        <f>Datos!BL20</f>
        <v>0</v>
      </c>
      <c r="C20" s="452">
        <f>Datos!AR20</f>
        <v>0</v>
      </c>
      <c r="D20" s="452">
        <f>Datos!BK20</f>
        <v>0</v>
      </c>
      <c r="E20" s="452">
        <f>Datos!AQ20</f>
        <v>0</v>
      </c>
      <c r="F20" s="453" t="str">
        <f>IF(ISNUMBER(E20/Datos!BH20),E20/Datos!BH20," - ")</f>
        <v xml:space="preserve"> - </v>
      </c>
      <c r="G20" s="452" t="str">
        <f>IF(ISNUMBER(Datos!BJ20),Datos!BJ20," - ")</f>
        <v xml:space="preserve"> - </v>
      </c>
      <c r="H20" s="452" t="str">
        <f>IF(ISNUMBER(Datos!AS20),Datos!AS20," - ")</f>
        <v xml:space="preserve"> - </v>
      </c>
      <c r="I20" s="453" t="str">
        <f t="shared" si="2"/>
        <v xml:space="preserve"> - </v>
      </c>
      <c r="J20" s="453" t="str">
        <f t="shared" si="3"/>
        <v xml:space="preserve"> - </v>
      </c>
      <c r="K20" s="469" t="str">
        <f>IF(AND(ISNUMBER(I20/Datos!ER20),(G20&lt;&gt;0)),((I20-Datos!ER20)/Datos!ER20)," - ")</f>
        <v xml:space="preserve"> - </v>
      </c>
      <c r="L20" s="469" t="str">
        <f>IF(AND(ISNUMBER(J20/Datos!ER20),(H20&lt;&gt;0)),((J20-Datos!ER20)/Datos!ER20)," - ")</f>
        <v xml:space="preserve"> - </v>
      </c>
      <c r="M20" s="470">
        <f>IF(EXACT(Datos!ER20,""),"-",Datos!ER20)</f>
        <v>5240</v>
      </c>
    </row>
    <row r="21" spans="1:13">
      <c r="A21" s="451" t="str">
        <f>Datos!A21</f>
        <v xml:space="preserve">Jdos. de lo Penal                               </v>
      </c>
      <c r="B21" s="452">
        <f>Datos!BK21</f>
        <v>0</v>
      </c>
      <c r="C21" s="452">
        <f>Datos!AQ21</f>
        <v>0</v>
      </c>
      <c r="D21" s="452">
        <f>Datos!BK21</f>
        <v>0</v>
      </c>
      <c r="E21" s="452">
        <f>Datos!AQ21</f>
        <v>0</v>
      </c>
      <c r="F21" s="453" t="str">
        <f>IF(ISNUMBER(E21/Datos!BH21),E21/Datos!BH21," - ")</f>
        <v xml:space="preserve"> - </v>
      </c>
      <c r="G21" s="452" t="str">
        <f>IF(ISNUMBER(Datos!BJ21),Datos!BJ21," - ")</f>
        <v xml:space="preserve"> - </v>
      </c>
      <c r="H21" s="452" t="str">
        <f>IF(ISNUMBER(Datos!AS21),Datos!AS21," - ")</f>
        <v xml:space="preserve"> - </v>
      </c>
      <c r="I21" s="453" t="str">
        <f t="shared" si="2"/>
        <v xml:space="preserve"> - </v>
      </c>
      <c r="J21" s="453" t="str">
        <f t="shared" si="3"/>
        <v xml:space="preserve"> - </v>
      </c>
      <c r="K21" s="469" t="str">
        <f>IF(AND(ISNUMBER(I21/Datos!ER21),(G21&lt;&gt;0)),((I21-Datos!ER21)/Datos!ER21)," - ")</f>
        <v xml:space="preserve"> - </v>
      </c>
      <c r="L21" s="469" t="str">
        <f>IF(AND(ISNUMBER(J21/Datos!ER21),(H21&lt;&gt;0)),((J21-Datos!ER21)/Datos!ER21)," - ")</f>
        <v xml:space="preserve"> - </v>
      </c>
      <c r="M21" s="470" t="str">
        <f>IF(EXACT(Datos!ER21,""),"-",Datos!ER21)</f>
        <v>500
400</v>
      </c>
    </row>
    <row r="22" spans="1:13" ht="13.5" thickBot="1">
      <c r="A22" s="451" t="str">
        <f>Datos!A22</f>
        <v xml:space="preserve">Jdos. de lo Penal de Ejecutorias                </v>
      </c>
      <c r="B22" s="452">
        <f>Datos!BL22</f>
        <v>0</v>
      </c>
      <c r="C22" s="452">
        <f>Datos!AR22</f>
        <v>0</v>
      </c>
      <c r="D22" s="452">
        <f>Datos!BK22</f>
        <v>0</v>
      </c>
      <c r="E22" s="452">
        <f>Datos!AQ22</f>
        <v>0</v>
      </c>
      <c r="F22" s="453" t="str">
        <f>IF(ISNUMBER(E22/Datos!BH22),E22/Datos!BH22," - ")</f>
        <v xml:space="preserve"> - </v>
      </c>
      <c r="G22" s="452" t="str">
        <f>IF(ISNUMBER(Datos!BJ22),Datos!BJ22," - ")</f>
        <v xml:space="preserve"> - </v>
      </c>
      <c r="H22" s="452" t="str">
        <f>IF(ISNUMBER(Datos!AS22),Datos!AS22," - ")</f>
        <v xml:space="preserve"> - </v>
      </c>
      <c r="I22" s="453" t="str">
        <f t="shared" si="2"/>
        <v xml:space="preserve"> - </v>
      </c>
      <c r="J22" s="453" t="str">
        <f t="shared" si="3"/>
        <v xml:space="preserve"> - </v>
      </c>
      <c r="K22" s="469" t="str">
        <f>IF(AND(ISNUMBER(I22/Datos!ER22),(G22&lt;&gt;0)),((I22-Datos!ER22)/Datos!ER22)," - ")</f>
        <v xml:space="preserve"> - </v>
      </c>
      <c r="L22" s="469" t="str">
        <f>IF(AND(ISNUMBER(J22/Datos!ER22),(H22&lt;&gt;0)),((J22-Datos!ER22)/Datos!ER22)," - ")</f>
        <v xml:space="preserve"> - </v>
      </c>
      <c r="M22" s="470">
        <f>IF(EXACT(Datos!ER22,""),"-",Datos!ER22)</f>
        <v>2400</v>
      </c>
    </row>
    <row r="23" spans="1:13" ht="14.25" thickTop="1" thickBot="1">
      <c r="A23" s="1148"/>
      <c r="B23" s="1152"/>
      <c r="C23" s="1152"/>
      <c r="D23" s="1149"/>
      <c r="E23" s="1149"/>
      <c r="F23" s="1150"/>
      <c r="G23" s="1149"/>
      <c r="H23" s="1150"/>
      <c r="I23" s="1149"/>
      <c r="J23" s="1150"/>
      <c r="K23" s="1149"/>
      <c r="L23" s="1150"/>
      <c r="M23" s="1150"/>
    </row>
    <row r="24" spans="1:13" ht="13.5" thickTop="1">
      <c r="A24" s="445" t="str">
        <f>Datos!A24</f>
        <v xml:space="preserve">Jurisdicción Cont.-Admva.:                      </v>
      </c>
      <c r="B24" s="467"/>
      <c r="C24" s="467"/>
      <c r="D24" s="455"/>
      <c r="E24" s="455"/>
      <c r="F24" s="456"/>
      <c r="G24" s="455"/>
      <c r="H24" s="456"/>
      <c r="I24" s="455"/>
      <c r="J24" s="456"/>
      <c r="K24" s="455"/>
      <c r="L24" s="456"/>
      <c r="M24" s="472"/>
    </row>
    <row r="25" spans="1:13" ht="13.5" thickBot="1">
      <c r="A25" s="451" t="str">
        <f>Datos!A25</f>
        <v xml:space="preserve">Jdos Cont.-Admvo.                               </v>
      </c>
      <c r="B25" s="452">
        <f>Datos!BL25</f>
        <v>0</v>
      </c>
      <c r="C25" s="452">
        <f>Datos!AR25</f>
        <v>0</v>
      </c>
      <c r="D25" s="452">
        <f>Datos!BK25</f>
        <v>0</v>
      </c>
      <c r="E25" s="452">
        <f>Datos!AQ25</f>
        <v>0</v>
      </c>
      <c r="F25" s="453" t="str">
        <f>IF(ISNUMBER(E25/Datos!BH25),E25/Datos!BH25," - ")</f>
        <v xml:space="preserve"> - </v>
      </c>
      <c r="G25" s="452" t="str">
        <f>IF(ISNUMBER(Datos!BJ25),Datos!BJ25," - ")</f>
        <v xml:space="preserve"> - </v>
      </c>
      <c r="H25" s="452" t="str">
        <f>IF(ISNUMBER(Datos!AS25),Datos!AS25," - ")</f>
        <v xml:space="preserve"> - </v>
      </c>
      <c r="I25" s="453" t="str">
        <f t="shared" ref="I25:J25" si="4">IF(ISNUMBER(G25/D25),G25/D25," - ")</f>
        <v xml:space="preserve"> - </v>
      </c>
      <c r="J25" s="453" t="str">
        <f t="shared" si="4"/>
        <v xml:space="preserve"> - </v>
      </c>
      <c r="K25" s="469" t="str">
        <f>IF(AND(ISNUMBER(I25/Datos!ER25),(G25&lt;&gt;0)),((I25-Datos!ER25)/Datos!ER25)," - ")</f>
        <v xml:space="preserve"> - </v>
      </c>
      <c r="L25" s="469" t="str">
        <f>IF(AND(ISNUMBER(J25/Datos!ER25),(H25&lt;&gt;0)),((J25-Datos!ER25)/Datos!ER25)," - ")</f>
        <v xml:space="preserve"> - </v>
      </c>
      <c r="M25" s="470">
        <f>IF(EXACT(Datos!ER25,""),"-",Datos!ER25)</f>
        <v>570</v>
      </c>
    </row>
    <row r="26" spans="1:13" ht="14.25" thickTop="1" thickBot="1">
      <c r="A26" s="1148"/>
      <c r="B26" s="1152"/>
      <c r="C26" s="1152"/>
      <c r="D26" s="1149"/>
      <c r="E26" s="1149"/>
      <c r="F26" s="1150"/>
      <c r="G26" s="1149"/>
      <c r="H26" s="1150"/>
      <c r="I26" s="1149"/>
      <c r="J26" s="1150"/>
      <c r="K26" s="1149"/>
      <c r="L26" s="1150"/>
      <c r="M26" s="1150"/>
    </row>
    <row r="27" spans="1:13" ht="13.5" thickTop="1">
      <c r="A27" s="445" t="str">
        <f>Datos!A27</f>
        <v xml:space="preserve">Jurisdicción Social:                            </v>
      </c>
      <c r="B27" s="467"/>
      <c r="C27" s="467"/>
      <c r="D27" s="455"/>
      <c r="E27" s="455"/>
      <c r="F27" s="456"/>
      <c r="G27" s="455"/>
      <c r="H27" s="456"/>
      <c r="I27" s="455"/>
      <c r="J27" s="456"/>
      <c r="K27" s="455"/>
      <c r="L27" s="456"/>
      <c r="M27" s="472"/>
    </row>
    <row r="28" spans="1:13">
      <c r="A28" s="451" t="str">
        <f>Datos!A28</f>
        <v xml:space="preserve">Jdos. de lo Social                              </v>
      </c>
      <c r="B28" s="452">
        <f>Datos!BK28</f>
        <v>0</v>
      </c>
      <c r="C28" s="452">
        <f>Datos!AQ28</f>
        <v>0</v>
      </c>
      <c r="D28" s="452">
        <f>Datos!BK28</f>
        <v>0</v>
      </c>
      <c r="E28" s="452">
        <f>Datos!AQ28</f>
        <v>0</v>
      </c>
      <c r="F28" s="453" t="str">
        <f>IF(ISNUMBER(E28/Datos!BH28),E28/Datos!BH28," - ")</f>
        <v xml:space="preserve"> - </v>
      </c>
      <c r="G28" s="452" t="str">
        <f>IF(ISNUMBER(Datos!BJ28),Datos!BJ28," - ")</f>
        <v xml:space="preserve"> - </v>
      </c>
      <c r="H28" s="452" t="str">
        <f>IF(ISNUMBER(Datos!AS28),Datos!AS28," - ")</f>
        <v xml:space="preserve"> - </v>
      </c>
      <c r="I28" s="453" t="str">
        <f t="shared" ref="I28:J29" si="5">IF(ISNUMBER(G28/D28),G28/D28," - ")</f>
        <v xml:space="preserve"> - </v>
      </c>
      <c r="J28" s="453" t="str">
        <f t="shared" si="5"/>
        <v xml:space="preserve"> - </v>
      </c>
      <c r="K28" s="469" t="str">
        <f>IF(AND(ISNUMBER(I28/Datos!ER28),(G28&lt;&gt;0)),((I28-Datos!ER28)/Datos!ER28)," - ")</f>
        <v xml:space="preserve"> - </v>
      </c>
      <c r="L28" s="469" t="str">
        <f>IF(AND(ISNUMBER(J28/Datos!ER28),(H28&lt;&gt;0)),((J28-Datos!ER28)/Datos!ER28)," - ")</f>
        <v xml:space="preserve"> - </v>
      </c>
      <c r="M28" s="470" t="str">
        <f>IF(EXACT(Datos!ER28,""),"-",Datos!ER28)</f>
        <v>900
800</v>
      </c>
    </row>
    <row r="29" spans="1:13" ht="13.5" thickBot="1">
      <c r="A29" s="451" t="str">
        <f>Datos!A29</f>
        <v>Jdos. De lo Social de Ejecuciones</v>
      </c>
      <c r="B29" s="452">
        <f>Datos!BL29</f>
        <v>0</v>
      </c>
      <c r="C29" s="452">
        <f>Datos!AR29</f>
        <v>0</v>
      </c>
      <c r="D29" s="452">
        <f>Datos!BK29</f>
        <v>0</v>
      </c>
      <c r="E29" s="452">
        <f>Datos!AQ29</f>
        <v>0</v>
      </c>
      <c r="F29" s="453" t="str">
        <f>IF(ISNUMBER(E29/Datos!BH29),E29/Datos!BH29," - ")</f>
        <v xml:space="preserve"> - </v>
      </c>
      <c r="G29" s="452" t="str">
        <f>IF(ISNUMBER(Datos!BJ29),Datos!BJ29," - ")</f>
        <v xml:space="preserve"> - </v>
      </c>
      <c r="H29" s="452" t="str">
        <f>IF(ISNUMBER(Datos!AS29),Datos!AS29," - ")</f>
        <v xml:space="preserve"> - </v>
      </c>
      <c r="I29" s="453" t="str">
        <f t="shared" si="5"/>
        <v xml:space="preserve"> - </v>
      </c>
      <c r="J29" s="453" t="str">
        <f t="shared" si="5"/>
        <v xml:space="preserve"> - </v>
      </c>
      <c r="K29" s="469" t="str">
        <f>IF(AND(ISNUMBER(I29/Datos!ER29),(G29&lt;&gt;0)),((I29-Datos!ER29)/Datos!ER29)," - ")</f>
        <v xml:space="preserve"> - </v>
      </c>
      <c r="L29" s="469" t="str">
        <f>IF(AND(ISNUMBER(J29/Datos!ER29),(H29&lt;&gt;0)),((J29-Datos!ER29)/Datos!ER29)," - ")</f>
        <v xml:space="preserve"> - </v>
      </c>
      <c r="M29" s="470">
        <f>IF(EXACT(Datos!ER29,""),"-",Datos!ER29)</f>
        <v>3500</v>
      </c>
    </row>
    <row r="30" spans="1:13" ht="14.25" thickTop="1" thickBot="1">
      <c r="A30" s="1148"/>
      <c r="B30" s="1152"/>
      <c r="C30" s="1152"/>
      <c r="D30" s="1149"/>
      <c r="E30" s="1149"/>
      <c r="F30" s="1150"/>
      <c r="G30" s="1149"/>
      <c r="H30" s="1150"/>
      <c r="I30" s="1149"/>
      <c r="J30" s="1150"/>
      <c r="K30" s="1149"/>
      <c r="L30" s="1150"/>
      <c r="M30" s="1150"/>
    </row>
    <row r="31" spans="1:13" ht="16.5" customHeight="1" thickTop="1" thickBot="1">
      <c r="A31" s="1086"/>
      <c r="B31" s="1090"/>
      <c r="C31" s="1090"/>
      <c r="D31" s="1087"/>
      <c r="E31" s="1087"/>
      <c r="F31" s="1088"/>
      <c r="G31" s="1087"/>
      <c r="H31" s="1088"/>
      <c r="I31" s="1087"/>
      <c r="J31" s="1088"/>
      <c r="K31" s="1087"/>
      <c r="L31" s="1088"/>
      <c r="M31" s="1088"/>
    </row>
    <row r="32" spans="1:13">
      <c r="A32" s="460"/>
      <c r="B32" s="460"/>
      <c r="C32" s="460"/>
      <c r="D32" s="461"/>
    </row>
    <row r="33" spans="1:4">
      <c r="A33" s="460"/>
      <c r="B33" s="460"/>
      <c r="C33" s="460"/>
      <c r="D33" s="460"/>
    </row>
    <row r="34" spans="1:4">
      <c r="A34" s="1552"/>
      <c r="B34" s="1552"/>
      <c r="C34" s="1552"/>
      <c r="D34" s="1552"/>
    </row>
    <row r="35" spans="1:4">
      <c r="A35" s="440" t="str">
        <f>Criterios!A4</f>
        <v>Fecha Informe: 05 abr. 2022</v>
      </c>
      <c r="B35" s="440"/>
      <c r="C35" s="440"/>
    </row>
    <row r="39" spans="1:4">
      <c r="A39" s="463"/>
      <c r="B39" s="463"/>
      <c r="C39" s="463"/>
    </row>
  </sheetData>
  <sheetProtection algorithmName="SHA-512" hashValue="SPlR7g/Yavr8KRa0+lLhDy6iUY+8tROJfKRSIBvTpF0MxAcmWrTg3XkeKT/6xn/+NRTX5X1q9GvMtkTln24BxA==" saltValue="YjiW5vvo146aMbswfc6lBg==" spinCount="100000" sheet="1" objects="1" scenarios="1"/>
  <mergeCells count="7">
    <mergeCell ref="A34:D3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39"/>
  <sheetViews>
    <sheetView zoomScale="85" zoomScaleNormal="85" workbookViewId="0"/>
  </sheetViews>
  <sheetFormatPr baseColWidth="10" defaultColWidth="11.42578125" defaultRowHeight="12.75"/>
  <cols>
    <col min="1" max="1" width="42.42578125" style="436" customWidth="1"/>
    <col min="2" max="2" width="9.7109375" style="473" customWidth="1"/>
    <col min="3" max="3" width="13.5703125" style="436" hidden="1" customWidth="1"/>
    <col min="4" max="4" width="14.5703125" style="436" customWidth="1"/>
    <col min="5" max="5" width="14.28515625" style="436" customWidth="1"/>
    <col min="6" max="7" width="14.140625" style="436" customWidth="1"/>
    <col min="8" max="8" width="13.85546875" style="436" customWidth="1"/>
    <col min="9" max="9" width="14" style="436" customWidth="1"/>
    <col min="10" max="16384" width="11.42578125" style="436"/>
  </cols>
  <sheetData>
    <row r="1" spans="1:9" ht="105" customHeight="1">
      <c r="G1" s="474"/>
    </row>
    <row r="2" spans="1:9" ht="18.75" customHeight="1">
      <c r="B2" s="475" t="str">
        <f>Criterios!A9 &amp;"  "&amp;Criterios!B9</f>
        <v>Tribunales de Justicia  ANDALUCIA</v>
      </c>
      <c r="C2" s="476"/>
      <c r="D2" s="419"/>
    </row>
    <row r="3" spans="1:9" ht="19.5">
      <c r="A3" s="477" t="s">
        <v>16</v>
      </c>
      <c r="B3" s="478" t="str">
        <f>Criterios!A10 &amp;"  "&amp;Criterios!B10</f>
        <v>Provincias  MALAGA</v>
      </c>
      <c r="C3" s="476"/>
      <c r="D3" s="477"/>
    </row>
    <row r="4" spans="1:9" ht="13.5" thickBot="1">
      <c r="B4" s="478" t="str">
        <f>Criterios!A11 &amp;"  "&amp;Criterios!B11</f>
        <v>Resumenes por Partidos Judiciales  MALAGA</v>
      </c>
    </row>
    <row r="5" spans="1:9" ht="15.75" customHeight="1">
      <c r="A5" s="1565" t="str">
        <f>"Año:  " &amp;Criterios!B5 &amp; "                  Trimestre   " &amp;Criterios!D5 &amp; " al " &amp;Criterios!D6</f>
        <v>Año:  2021                  Trimestre   1 al 4</v>
      </c>
      <c r="B5" s="1577" t="s">
        <v>163</v>
      </c>
      <c r="C5" s="1579" t="s">
        <v>170</v>
      </c>
      <c r="D5" s="1555" t="s">
        <v>119</v>
      </c>
      <c r="E5" s="1556"/>
      <c r="F5" s="1555" t="s">
        <v>120</v>
      </c>
      <c r="G5" s="1560"/>
      <c r="H5" s="1555" t="s">
        <v>302</v>
      </c>
      <c r="I5" s="1560"/>
    </row>
    <row r="6" spans="1:9" ht="14.25" customHeight="1" thickBot="1">
      <c r="A6" s="1566"/>
      <c r="B6" s="1578"/>
      <c r="C6" s="1580"/>
      <c r="D6" s="1557"/>
      <c r="E6" s="1558"/>
      <c r="F6" s="1557"/>
      <c r="G6" s="1561"/>
      <c r="H6" s="1557"/>
      <c r="I6" s="1561"/>
    </row>
    <row r="7" spans="1:9" ht="46.5" customHeight="1" thickTop="1" thickBot="1">
      <c r="A7" s="441" t="str">
        <f>Datos!A7</f>
        <v>COMPETENCIAS</v>
      </c>
      <c r="B7" s="479" t="s">
        <v>164</v>
      </c>
      <c r="C7" s="465" t="s">
        <v>164</v>
      </c>
      <c r="D7" s="443" t="s">
        <v>127</v>
      </c>
      <c r="E7" s="444" t="s">
        <v>11</v>
      </c>
      <c r="F7" s="443" t="s">
        <v>128</v>
      </c>
      <c r="G7" s="444" t="s">
        <v>11</v>
      </c>
      <c r="H7" s="443" t="s">
        <v>303</v>
      </c>
      <c r="I7" s="444" t="s">
        <v>11</v>
      </c>
    </row>
    <row r="8" spans="1:9">
      <c r="A8" s="445" t="str">
        <f>Datos!A8</f>
        <v>Jurisdicción Civil ( 1 ):</v>
      </c>
      <c r="B8" s="480"/>
      <c r="C8" s="449"/>
      <c r="D8" s="447"/>
      <c r="E8" s="449"/>
      <c r="F8" s="447"/>
      <c r="G8" s="448"/>
      <c r="H8" s="447"/>
      <c r="I8" s="448"/>
    </row>
    <row r="9" spans="1:9">
      <c r="A9" s="451" t="str">
        <f>Datos!A9</f>
        <v xml:space="preserve">Jdos. 1ª Instancia   </v>
      </c>
      <c r="B9" s="481">
        <f>Datos!AO9</f>
        <v>17</v>
      </c>
      <c r="C9" s="459">
        <f>Datos!AQ9</f>
        <v>17</v>
      </c>
      <c r="D9" s="452">
        <f>IF(ISNUMBER(Datos!M9),Datos!M9," - ")</f>
        <v>8836</v>
      </c>
      <c r="E9" s="453">
        <f t="shared" ref="E9:E14" si="0">IF(ISNUMBER(D9/B9),D9/B9," - ")</f>
        <v>519.76470588235293</v>
      </c>
      <c r="F9" s="452">
        <f>IF(ISNUMBER(Datos!N9),Datos!N9," - ")</f>
        <v>20181</v>
      </c>
      <c r="G9" s="453">
        <f t="shared" ref="G9:G14" si="1">IF(ISNUMBER(F9/B9),F9/B9," - ")</f>
        <v>1187.1176470588234</v>
      </c>
      <c r="H9" s="452">
        <f>IF(ISNUMBER(Datos!O9),Datos!O9," - ")</f>
        <v>13444</v>
      </c>
      <c r="I9" s="453">
        <f>IF(ISNUMBER(H9/B9),H9/B9," - ")</f>
        <v>790.82352941176475</v>
      </c>
    </row>
    <row r="10" spans="1:9">
      <c r="A10" s="451" t="str">
        <f>Datos!A10</f>
        <v>Jdos. Violencia contra la mujer</v>
      </c>
      <c r="B10" s="481">
        <f>Datos!AO10</f>
        <v>3</v>
      </c>
      <c r="C10" s="459">
        <f>Datos!AQ10</f>
        <v>3</v>
      </c>
      <c r="D10" s="452">
        <f>IF(ISNUMBER(Datos!M10),Datos!M10," - ")</f>
        <v>207</v>
      </c>
      <c r="E10" s="453">
        <f>IF(ISNUMBER(D10/B10),D10/B10," - ")</f>
        <v>69</v>
      </c>
      <c r="F10" s="452">
        <f>IF(ISNUMBER(Datos!N10),Datos!N10," - ")</f>
        <v>247</v>
      </c>
      <c r="G10" s="453">
        <f>IF(ISNUMBER(F10/B10),F10/B10," - ")</f>
        <v>82.333333333333329</v>
      </c>
      <c r="H10" s="452">
        <f>IF(ISNUMBER(Datos!O10),Datos!O10," - ")</f>
        <v>137</v>
      </c>
      <c r="I10" s="453">
        <f t="shared" ref="I10:I13" si="2">IF(ISNUMBER(H10/B10),H10/B10," - ")</f>
        <v>45.666666666666664</v>
      </c>
    </row>
    <row r="11" spans="1:9">
      <c r="A11" s="451" t="str">
        <f>Datos!A11</f>
        <v xml:space="preserve">Jdos. Familia                                   </v>
      </c>
      <c r="B11" s="481">
        <f>Datos!AO11</f>
        <v>4</v>
      </c>
      <c r="C11" s="459">
        <f>Datos!AQ11</f>
        <v>4</v>
      </c>
      <c r="D11" s="452">
        <f>IF(ISNUMBER(Datos!M11),Datos!M11," - ")</f>
        <v>2904</v>
      </c>
      <c r="E11" s="453">
        <f t="shared" si="0"/>
        <v>726</v>
      </c>
      <c r="F11" s="452">
        <f>IF(ISNUMBER(Datos!N11),Datos!N11," - ")</f>
        <v>1571</v>
      </c>
      <c r="G11" s="453">
        <f t="shared" si="1"/>
        <v>392.75</v>
      </c>
      <c r="H11" s="452">
        <f>IF(ISNUMBER(Datos!O11),Datos!O11," - ")</f>
        <v>1844</v>
      </c>
      <c r="I11" s="453">
        <f t="shared" si="2"/>
        <v>461</v>
      </c>
    </row>
    <row r="12" spans="1:9">
      <c r="A12" s="451" t="str">
        <f>Datos!A12</f>
        <v xml:space="preserve">Jdos. 1ª Instª. e Instr.                        </v>
      </c>
      <c r="B12" s="481">
        <f>Datos!AO12</f>
        <v>0</v>
      </c>
      <c r="C12" s="459">
        <f>Datos!AQ12</f>
        <v>0</v>
      </c>
      <c r="D12" s="452" t="str">
        <f>IF(ISNUMBER(Datos!M12),Datos!M12," - ")</f>
        <v xml:space="preserve"> - </v>
      </c>
      <c r="E12" s="453" t="str">
        <f t="shared" si="0"/>
        <v xml:space="preserve"> - </v>
      </c>
      <c r="F12" s="452" t="str">
        <f>IF(ISNUMBER(Datos!N12),Datos!N12," - ")</f>
        <v xml:space="preserve"> - </v>
      </c>
      <c r="G12" s="453" t="str">
        <f t="shared" si="1"/>
        <v xml:space="preserve"> - </v>
      </c>
      <c r="H12" s="452" t="str">
        <f>IF(ISNUMBER(Datos!O12),Datos!O12," - ")</f>
        <v xml:space="preserve"> - </v>
      </c>
      <c r="I12" s="453" t="str">
        <f t="shared" si="2"/>
        <v xml:space="preserve"> - </v>
      </c>
    </row>
    <row r="13" spans="1:9" ht="13.5" thickBot="1">
      <c r="A13" s="451" t="str">
        <f>Datos!A13</f>
        <v xml:space="preserve">Jdos. de Menores    </v>
      </c>
      <c r="B13" s="481">
        <f>Datos!AO13</f>
        <v>0</v>
      </c>
      <c r="C13" s="459">
        <f>Datos!AQ13</f>
        <v>0</v>
      </c>
      <c r="D13" s="452" t="str">
        <f>IF(ISNUMBER(Datos!M13),Datos!M13," - ")</f>
        <v xml:space="preserve"> - </v>
      </c>
      <c r="E13" s="453" t="str">
        <f>IF(ISNUMBER(D13/B13),D13/B13," - ")</f>
        <v xml:space="preserve"> - </v>
      </c>
      <c r="F13" s="452" t="str">
        <f>IF(ISNUMBER(Datos!N13),Datos!N13," - ")</f>
        <v xml:space="preserve"> - </v>
      </c>
      <c r="G13" s="453" t="str">
        <f>IF(ISNUMBER(F13/B13),F13/B13," - ")</f>
        <v xml:space="preserve"> - </v>
      </c>
      <c r="H13" s="452" t="str">
        <f>IF(ISNUMBER(Datos!O13),Datos!O13," - ")</f>
        <v xml:space="preserve"> - </v>
      </c>
      <c r="I13" s="453" t="str">
        <f t="shared" si="2"/>
        <v xml:space="preserve"> - </v>
      </c>
    </row>
    <row r="14" spans="1:9" ht="14.25" thickTop="1" thickBot="1">
      <c r="A14" s="1148" t="str">
        <f>Datos!A14</f>
        <v>TOTAL</v>
      </c>
      <c r="B14" s="1149">
        <f>Datos!AO14</f>
        <v>24</v>
      </c>
      <c r="C14" s="1151">
        <f>Datos!AR14</f>
        <v>24</v>
      </c>
      <c r="D14" s="1149">
        <f>SUBTOTAL(9,D9:D13)</f>
        <v>11947</v>
      </c>
      <c r="E14" s="1150">
        <f t="shared" si="0"/>
        <v>497.79166666666669</v>
      </c>
      <c r="F14" s="1149">
        <f>SUBTOTAL(9,F9:F13)</f>
        <v>21999</v>
      </c>
      <c r="G14" s="1150">
        <f t="shared" si="1"/>
        <v>916.625</v>
      </c>
      <c r="H14" s="1149">
        <f>SUBTOTAL(9,H9:H13)</f>
        <v>15425</v>
      </c>
      <c r="I14" s="1150">
        <f>IF(ISNUMBER(H14/B14),H14/B14," - ")</f>
        <v>642.70833333333337</v>
      </c>
    </row>
    <row r="15" spans="1:9" ht="13.5" thickTop="1">
      <c r="A15" s="445" t="str">
        <f>Datos!A15</f>
        <v xml:space="preserve">Jurisdicción Penal ( 2 ):                      </v>
      </c>
      <c r="B15" s="481">
        <f>Datos!AO15</f>
        <v>0</v>
      </c>
      <c r="C15" s="457"/>
      <c r="D15" s="455"/>
      <c r="E15" s="456"/>
      <c r="F15" s="455"/>
      <c r="G15" s="456"/>
      <c r="H15" s="455"/>
      <c r="I15" s="456"/>
    </row>
    <row r="16" spans="1:9">
      <c r="A16" s="451" t="str">
        <f>Datos!A16</f>
        <v xml:space="preserve">Jdos. Instrucción                               </v>
      </c>
      <c r="B16" s="481">
        <f>Datos!AO16</f>
        <v>14</v>
      </c>
      <c r="C16" s="482">
        <f>Datos!AQ16</f>
        <v>14</v>
      </c>
      <c r="D16" s="452">
        <f>IF(ISNUMBER(Datos!M16),Datos!M16," - ")</f>
        <v>5659</v>
      </c>
      <c r="E16" s="453">
        <f t="shared" ref="E16:E23" si="3">IF(ISNUMBER(D16/B16),D16/B16," - ")</f>
        <v>404.21428571428572</v>
      </c>
      <c r="F16" s="452">
        <f>IF(ISNUMBER(Datos!N16),Datos!N16," - ")</f>
        <v>52679</v>
      </c>
      <c r="G16" s="453">
        <f t="shared" ref="G16:G23" si="4">IF(ISNUMBER(F16/B16),F16/B16," - ")</f>
        <v>3762.7857142857142</v>
      </c>
      <c r="H16" s="452">
        <f>IF(ISNUMBER(Datos!O16),Datos!O16," - ")</f>
        <v>687</v>
      </c>
      <c r="I16" s="453">
        <f t="shared" ref="I16:I22" si="5">IF(ISNUMBER(H16/B16),H16/B16," - ")</f>
        <v>49.071428571428569</v>
      </c>
    </row>
    <row r="17" spans="1:9">
      <c r="A17" s="451" t="str">
        <f>Datos!A17</f>
        <v xml:space="preserve">Jdos. 1ª Instª. e Instr.                        </v>
      </c>
      <c r="B17" s="481">
        <f>Datos!AO17</f>
        <v>0</v>
      </c>
      <c r="C17" s="482">
        <f>Datos!AQ17</f>
        <v>0</v>
      </c>
      <c r="D17" s="452" t="str">
        <f>IF(ISNUMBER(Datos!M17),Datos!M17," - ")</f>
        <v xml:space="preserve"> - </v>
      </c>
      <c r="E17" s="453" t="str">
        <f t="shared" si="3"/>
        <v xml:space="preserve"> - </v>
      </c>
      <c r="F17" s="452" t="str">
        <f>IF(ISNUMBER(Datos!N17),Datos!N17," - ")</f>
        <v xml:space="preserve"> - </v>
      </c>
      <c r="G17" s="453" t="str">
        <f t="shared" si="4"/>
        <v xml:space="preserve"> - </v>
      </c>
      <c r="H17" s="452" t="str">
        <f>IF(ISNUMBER(Datos!O17),Datos!O17," - ")</f>
        <v xml:space="preserve"> - </v>
      </c>
      <c r="I17" s="453" t="str">
        <f t="shared" si="5"/>
        <v xml:space="preserve"> - </v>
      </c>
    </row>
    <row r="18" spans="1:9">
      <c r="A18" s="451" t="str">
        <f>Datos!A18</f>
        <v>Jdos. Violencia contra la mujer</v>
      </c>
      <c r="B18" s="481">
        <f>Datos!AO18</f>
        <v>3</v>
      </c>
      <c r="C18" s="482">
        <f>Datos!AQ18</f>
        <v>3</v>
      </c>
      <c r="D18" s="452">
        <f>IF(ISNUMBER(Datos!M18),Datos!M18," - ")</f>
        <v>251</v>
      </c>
      <c r="E18" s="453">
        <f>IF(ISNUMBER(D18/B18),D18/B18," - ")</f>
        <v>83.666666666666671</v>
      </c>
      <c r="F18" s="452">
        <f>IF(ISNUMBER(Datos!N18),Datos!N18," - ")</f>
        <v>2856</v>
      </c>
      <c r="G18" s="453">
        <f>IF(ISNUMBER(F18/B18),F18/B18," - ")</f>
        <v>952</v>
      </c>
      <c r="H18" s="452">
        <f>IF(ISNUMBER(Datos!O18),Datos!O18," - ")</f>
        <v>9</v>
      </c>
      <c r="I18" s="453">
        <f t="shared" si="5"/>
        <v>3</v>
      </c>
    </row>
    <row r="19" spans="1:9">
      <c r="A19" s="451" t="str">
        <f>Datos!A19</f>
        <v xml:space="preserve">Jdos. de Menores                                </v>
      </c>
      <c r="B19" s="481">
        <f>Datos!AO19</f>
        <v>0</v>
      </c>
      <c r="C19" s="482">
        <f>Datos!AQ19</f>
        <v>0</v>
      </c>
      <c r="D19" s="452" t="str">
        <f>IF(ISNUMBER(Datos!M19),Datos!M19," - ")</f>
        <v xml:space="preserve"> - </v>
      </c>
      <c r="E19" s="453" t="str">
        <f t="shared" si="3"/>
        <v xml:space="preserve"> - </v>
      </c>
      <c r="F19" s="452" t="str">
        <f>IF(ISNUMBER(Datos!N19),Datos!N19," - ")</f>
        <v xml:space="preserve"> - </v>
      </c>
      <c r="G19" s="453" t="str">
        <f t="shared" si="4"/>
        <v xml:space="preserve"> - </v>
      </c>
      <c r="H19" s="452" t="str">
        <f>IF(ISNUMBER(Datos!O19),Datos!O19," - ")</f>
        <v xml:space="preserve"> - </v>
      </c>
      <c r="I19" s="453" t="str">
        <f t="shared" si="5"/>
        <v xml:space="preserve"> - </v>
      </c>
    </row>
    <row r="20" spans="1:9">
      <c r="A20" s="451" t="str">
        <f>Datos!A20</f>
        <v xml:space="preserve">Jdos. Vigilancia Penitenciaria                  </v>
      </c>
      <c r="B20" s="481">
        <f>Datos!AO20</f>
        <v>0</v>
      </c>
      <c r="C20" s="482">
        <f>Datos!AQ20</f>
        <v>0</v>
      </c>
      <c r="D20" s="452" t="str">
        <f>IF(ISNUMBER(Datos!M20),Datos!M20," - ")</f>
        <v xml:space="preserve"> - </v>
      </c>
      <c r="E20" s="453" t="str">
        <f t="shared" si="3"/>
        <v xml:space="preserve"> - </v>
      </c>
      <c r="F20" s="452" t="str">
        <f>IF(ISNUMBER(Datos!N20),Datos!N20," - ")</f>
        <v xml:space="preserve"> - </v>
      </c>
      <c r="G20" s="453" t="str">
        <f t="shared" si="4"/>
        <v xml:space="preserve"> - </v>
      </c>
      <c r="H20" s="452" t="str">
        <f>IF(ISNUMBER(Datos!O20),Datos!O20," - ")</f>
        <v xml:space="preserve"> - </v>
      </c>
      <c r="I20" s="453" t="str">
        <f t="shared" si="5"/>
        <v xml:space="preserve"> - </v>
      </c>
    </row>
    <row r="21" spans="1:9">
      <c r="A21" s="451" t="str">
        <f>Datos!A21</f>
        <v xml:space="preserve">Jdos. de lo Penal                               </v>
      </c>
      <c r="B21" s="481">
        <f>Datos!AO21</f>
        <v>0</v>
      </c>
      <c r="C21" s="482">
        <f>Datos!AQ21</f>
        <v>0</v>
      </c>
      <c r="D21" s="452" t="str">
        <f>IF(ISNUMBER(Datos!M21),Datos!M21," - ")</f>
        <v xml:space="preserve"> - </v>
      </c>
      <c r="E21" s="453" t="str">
        <f t="shared" si="3"/>
        <v xml:space="preserve"> - </v>
      </c>
      <c r="F21" s="452" t="str">
        <f>IF(ISNUMBER(Datos!N21),Datos!N21," - ")</f>
        <v xml:space="preserve"> - </v>
      </c>
      <c r="G21" s="453" t="str">
        <f t="shared" si="4"/>
        <v xml:space="preserve"> - </v>
      </c>
      <c r="H21" s="452" t="str">
        <f>IF(ISNUMBER(Datos!O21),Datos!O21," - ")</f>
        <v xml:space="preserve"> - </v>
      </c>
      <c r="I21" s="453" t="str">
        <f t="shared" si="5"/>
        <v xml:space="preserve"> - </v>
      </c>
    </row>
    <row r="22" spans="1:9" ht="13.5" thickBot="1">
      <c r="A22" s="451" t="str">
        <f>Datos!A22</f>
        <v xml:space="preserve">Jdos. de lo Penal de Ejecutorias                </v>
      </c>
      <c r="B22" s="481">
        <f>Datos!AO22</f>
        <v>0</v>
      </c>
      <c r="C22" s="482">
        <f>Datos!AQ22</f>
        <v>0</v>
      </c>
      <c r="D22" s="452" t="str">
        <f>IF(ISNUMBER(Datos!M22),Datos!M22," - ")</f>
        <v xml:space="preserve"> - </v>
      </c>
      <c r="E22" s="453" t="str">
        <f t="shared" si="3"/>
        <v xml:space="preserve"> - </v>
      </c>
      <c r="F22" s="452" t="str">
        <f>IF(ISNUMBER(Datos!N22),Datos!N22," - ")</f>
        <v xml:space="preserve"> - </v>
      </c>
      <c r="G22" s="453" t="str">
        <f t="shared" si="4"/>
        <v xml:space="preserve"> - </v>
      </c>
      <c r="H22" s="452" t="str">
        <f>IF(ISNUMBER(Datos!O22),Datos!O22," - ")</f>
        <v xml:space="preserve"> - </v>
      </c>
      <c r="I22" s="453" t="str">
        <f t="shared" si="5"/>
        <v xml:space="preserve"> - </v>
      </c>
    </row>
    <row r="23" spans="1:9" ht="14.25" thickTop="1" thickBot="1">
      <c r="A23" s="1148" t="str">
        <f>Datos!A23</f>
        <v>TOTAL</v>
      </c>
      <c r="B23" s="1149">
        <f>Datos!AO23</f>
        <v>17</v>
      </c>
      <c r="C23" s="1151">
        <f>Datos!AR23</f>
        <v>17</v>
      </c>
      <c r="D23" s="1149">
        <f>SUBTOTAL(9,D16:D22)</f>
        <v>5910</v>
      </c>
      <c r="E23" s="1150">
        <f t="shared" si="3"/>
        <v>347.64705882352939</v>
      </c>
      <c r="F23" s="1149">
        <f>SUBTOTAL(9,F16:F22)</f>
        <v>55535</v>
      </c>
      <c r="G23" s="1150">
        <f t="shared" si="4"/>
        <v>3266.7647058823532</v>
      </c>
      <c r="H23" s="1149">
        <f>SUBTOTAL(9,H16:H22)</f>
        <v>696</v>
      </c>
      <c r="I23" s="1150">
        <f>IF(ISNUMBER(H23/B23),H23/B23," - ")</f>
        <v>40.941176470588232</v>
      </c>
    </row>
    <row r="24" spans="1:9" ht="13.5" thickTop="1">
      <c r="A24" s="445" t="str">
        <f>Datos!A24</f>
        <v xml:space="preserve">Jurisdicción Cont.-Admva.:                      </v>
      </c>
      <c r="B24" s="481">
        <f>Datos!AO24</f>
        <v>0</v>
      </c>
      <c r="C24" s="457"/>
      <c r="D24" s="455"/>
      <c r="E24" s="456"/>
      <c r="F24" s="455"/>
      <c r="G24" s="456"/>
      <c r="H24" s="455"/>
      <c r="I24" s="456"/>
    </row>
    <row r="25" spans="1:9" ht="13.5" thickBot="1">
      <c r="A25" s="451" t="str">
        <f>Datos!A25</f>
        <v xml:space="preserve">Jdos Cont.-Admvo.                               </v>
      </c>
      <c r="B25" s="481">
        <f>Datos!AO25</f>
        <v>0</v>
      </c>
      <c r="C25" s="482">
        <f>Datos!AQ25</f>
        <v>0</v>
      </c>
      <c r="D25" s="452" t="str">
        <f>IF(ISNUMBER(Datos!M25),Datos!M25," - ")</f>
        <v xml:space="preserve"> - </v>
      </c>
      <c r="E25" s="453" t="str">
        <f t="shared" ref="E25:E26" si="6">IF(ISNUMBER(D25/B25),D25/B25," - ")</f>
        <v xml:space="preserve"> - </v>
      </c>
      <c r="F25" s="452" t="str">
        <f>IF(ISNUMBER(Datos!N25),Datos!N25," - ")</f>
        <v xml:space="preserve"> - </v>
      </c>
      <c r="G25" s="453" t="str">
        <f t="shared" ref="G25:G26" si="7">IF(ISNUMBER(F25/B25),F25/B25," - ")</f>
        <v xml:space="preserve"> - </v>
      </c>
      <c r="H25" s="452" t="str">
        <f>IF(ISNUMBER(Datos!O25),Datos!O25," - ")</f>
        <v xml:space="preserve"> - </v>
      </c>
      <c r="I25" s="453" t="str">
        <f t="shared" ref="I25:I26" si="8">IF(ISNUMBER(H25/B25),H25/B25," - ")</f>
        <v xml:space="preserve"> - </v>
      </c>
    </row>
    <row r="26" spans="1:9" ht="14.25" thickTop="1" thickBot="1">
      <c r="A26" s="1148" t="str">
        <f>Datos!A26</f>
        <v>TOTAL</v>
      </c>
      <c r="B26" s="1149">
        <f>Datos!AO26</f>
        <v>0</v>
      </c>
      <c r="C26" s="1151">
        <f>Datos!AR26</f>
        <v>0</v>
      </c>
      <c r="D26" s="1149">
        <f>SUBTOTAL(9,D25:D25)</f>
        <v>0</v>
      </c>
      <c r="E26" s="1150" t="str">
        <f t="shared" si="6"/>
        <v xml:space="preserve"> - </v>
      </c>
      <c r="F26" s="1149">
        <f>SUBTOTAL(9,F25:F25)</f>
        <v>0</v>
      </c>
      <c r="G26" s="1150" t="str">
        <f t="shared" si="7"/>
        <v xml:space="preserve"> - </v>
      </c>
      <c r="H26" s="1149">
        <f>SUBTOTAL(9,H25:H25)</f>
        <v>0</v>
      </c>
      <c r="I26" s="1150" t="str">
        <f t="shared" si="8"/>
        <v xml:space="preserve"> - </v>
      </c>
    </row>
    <row r="27" spans="1:9" ht="13.5" thickTop="1">
      <c r="A27" s="445" t="str">
        <f>Datos!A27</f>
        <v xml:space="preserve">Jurisdicción Social:                            </v>
      </c>
      <c r="B27" s="481">
        <f>Datos!AO27</f>
        <v>0</v>
      </c>
      <c r="C27" s="457"/>
      <c r="D27" s="455"/>
      <c r="E27" s="456"/>
      <c r="F27" s="455"/>
      <c r="G27" s="456"/>
      <c r="H27" s="455"/>
      <c r="I27" s="456"/>
    </row>
    <row r="28" spans="1:9">
      <c r="A28" s="451" t="str">
        <f>Datos!A28</f>
        <v xml:space="preserve">Jdos. de lo Social                              </v>
      </c>
      <c r="B28" s="481">
        <f>Datos!AO28</f>
        <v>0</v>
      </c>
      <c r="C28" s="483">
        <f>Datos!AQ28-IF(ISNUMBER(Datos!AQ29),Datos!AQ29,0)</f>
        <v>0</v>
      </c>
      <c r="D28" s="484" t="str">
        <f>IF(ISNUMBER(Datos!M28),Datos!M28," - ")</f>
        <v xml:space="preserve"> - </v>
      </c>
      <c r="E28" s="453" t="str">
        <f t="shared" ref="E28:E30" si="9">IF(ISNUMBER(D28/B28),D28/B28," - ")</f>
        <v xml:space="preserve"> - </v>
      </c>
      <c r="F28" s="452" t="str">
        <f>IF(ISNUMBER(Datos!N28),Datos!N28," - ")</f>
        <v xml:space="preserve"> - </v>
      </c>
      <c r="G28" s="453" t="str">
        <f t="shared" ref="G28:G30" si="10">IF(ISNUMBER(F28/B28),F28/B28," - ")</f>
        <v xml:space="preserve"> - </v>
      </c>
      <c r="H28" s="452" t="str">
        <f>IF(ISNUMBER(Datos!O28),Datos!O28," - ")</f>
        <v xml:space="preserve"> - </v>
      </c>
      <c r="I28" s="453" t="str">
        <f t="shared" ref="I28:I30" si="11">IF(ISNUMBER(H28/B28),H28/B28," - ")</f>
        <v xml:space="preserve"> - </v>
      </c>
    </row>
    <row r="29" spans="1:9" ht="13.5" thickBot="1">
      <c r="A29" s="451" t="str">
        <f>Datos!A29</f>
        <v>Jdos. De lo Social de Ejecuciones</v>
      </c>
      <c r="B29" s="481">
        <f>Datos!AO29</f>
        <v>0</v>
      </c>
      <c r="C29" s="482">
        <f>Datos!AQ29</f>
        <v>0</v>
      </c>
      <c r="D29" s="452" t="str">
        <f>IF(ISNUMBER(Datos!M29),Datos!M29," - ")</f>
        <v xml:space="preserve"> - </v>
      </c>
      <c r="E29" s="453" t="str">
        <f t="shared" si="9"/>
        <v xml:space="preserve"> - </v>
      </c>
      <c r="F29" s="452" t="str">
        <f>IF(ISNUMBER(Datos!N29),Datos!N29," - ")</f>
        <v xml:space="preserve"> - </v>
      </c>
      <c r="G29" s="453" t="str">
        <f t="shared" si="10"/>
        <v xml:space="preserve"> - </v>
      </c>
      <c r="H29" s="452" t="str">
        <f>IF(ISNUMBER(Datos!O29),Datos!O29," - ")</f>
        <v xml:space="preserve"> - </v>
      </c>
      <c r="I29" s="453" t="str">
        <f t="shared" si="11"/>
        <v xml:space="preserve"> - </v>
      </c>
    </row>
    <row r="30" spans="1:9" ht="14.25" thickTop="1" thickBot="1">
      <c r="A30" s="1148" t="str">
        <f>Datos!A30</f>
        <v>TOTAL</v>
      </c>
      <c r="B30" s="1149">
        <f>Datos!AO30</f>
        <v>0</v>
      </c>
      <c r="C30" s="1151">
        <f>Datos!AR30</f>
        <v>0</v>
      </c>
      <c r="D30" s="1149">
        <f>SUBTOTAL(9,D28:D29)</f>
        <v>0</v>
      </c>
      <c r="E30" s="1150" t="str">
        <f t="shared" si="9"/>
        <v xml:space="preserve"> - </v>
      </c>
      <c r="F30" s="1149">
        <f>SUBTOTAL(9,F28:F29)</f>
        <v>0</v>
      </c>
      <c r="G30" s="1150" t="str">
        <f t="shared" si="10"/>
        <v xml:space="preserve"> - </v>
      </c>
      <c r="H30" s="1149">
        <f>SUBTOTAL(9,H28:H29)</f>
        <v>0</v>
      </c>
      <c r="I30" s="1150" t="str">
        <f t="shared" si="11"/>
        <v xml:space="preserve"> - </v>
      </c>
    </row>
    <row r="31" spans="1:9" ht="14.25" thickTop="1" thickBot="1">
      <c r="A31" s="1086" t="str">
        <f>Datos!A31</f>
        <v>TOTAL JURISDICCIONES</v>
      </c>
      <c r="B31" s="1087">
        <f>Datos!AP31</f>
        <v>38</v>
      </c>
      <c r="C31" s="1087">
        <f>Datos!AR31</f>
        <v>38</v>
      </c>
      <c r="D31" s="1087">
        <f>SUBTOTAL(9,D8:D30)</f>
        <v>17857</v>
      </c>
      <c r="E31" s="1088">
        <f>IF(ISNUMBER(D31/B31),D31/B31," - ")</f>
        <v>469.92105263157896</v>
      </c>
      <c r="F31" s="1087">
        <f>SUBTOTAL(9,F8:F30)</f>
        <v>77534</v>
      </c>
      <c r="G31" s="1088">
        <f>IF(ISNUMBER(F31/B31),F31/B31," - ")</f>
        <v>2040.3684210526317</v>
      </c>
      <c r="H31" s="1087">
        <f>SUBTOTAL(9,H8:H30)</f>
        <v>16121</v>
      </c>
      <c r="I31" s="1088">
        <f>IF(ISNUMBER(H31/B31),H31/B31," - ")</f>
        <v>424.23684210526318</v>
      </c>
    </row>
    <row r="34" spans="1:1">
      <c r="A34" s="440" t="str">
        <f>Criterios!A4</f>
        <v>Fecha Informe: 05 abr. 2022</v>
      </c>
    </row>
    <row r="39" spans="1:1">
      <c r="A39" s="463"/>
    </row>
  </sheetData>
  <sheetProtection algorithmName="SHA-512" hashValue="akYY8SPAlPPDe2aVcAW0yapW13KWJlS5Sl3DSC+ePV+RtIoWdwFl7zFqG0gCqfpQpttH1Q0zRWxiNf1Pyhzpjg==" saltValue="lIOvb9BZD6i6N5Xvxp3r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39"/>
  <sheetViews>
    <sheetView zoomScale="85" zoomScaleNormal="85" workbookViewId="0"/>
  </sheetViews>
  <sheetFormatPr baseColWidth="10" defaultColWidth="11.42578125" defaultRowHeight="12.75"/>
  <cols>
    <col min="1" max="1" width="45.28515625" style="436" customWidth="1"/>
    <col min="2" max="2" width="14.140625" style="436" customWidth="1"/>
    <col min="3" max="3" width="14.28515625" style="436" customWidth="1"/>
    <col min="4" max="4" width="14" style="436" customWidth="1"/>
    <col min="5" max="16384" width="11.42578125" style="436"/>
  </cols>
  <sheetData>
    <row r="1" spans="1:4" ht="106.5" customHeight="1"/>
    <row r="2" spans="1:4" ht="16.5" customHeight="1">
      <c r="B2" s="438" t="str">
        <f>Criterios!A9 &amp;"  "&amp;Criterios!B9</f>
        <v>Tribunales de Justicia  ANDALUCIA</v>
      </c>
    </row>
    <row r="3" spans="1:4" ht="19.5">
      <c r="A3" s="485" t="s">
        <v>48</v>
      </c>
      <c r="B3" s="440" t="str">
        <f>Criterios!A10 &amp;"  "&amp;Criterios!B10</f>
        <v>Provincias  MALAGA</v>
      </c>
    </row>
    <row r="4" spans="1:4" ht="13.5" thickBot="1">
      <c r="B4" s="440" t="str">
        <f>Criterios!A11 &amp;"  "&amp;Criterios!B11</f>
        <v>Resumenes por Partidos Judiciales  MALAGA</v>
      </c>
    </row>
    <row r="5" spans="1:4" ht="12.75" customHeight="1">
      <c r="A5" s="1565" t="str">
        <f>"Año:  " &amp;Criterios!B5 &amp; "                  Trimestre   " &amp;Criterios!D5 &amp; " al " &amp;Criterios!D6</f>
        <v>Año:  2021                  Trimestre   1 al 4</v>
      </c>
      <c r="B5" s="1581" t="s">
        <v>15</v>
      </c>
      <c r="C5" s="1581" t="s">
        <v>19</v>
      </c>
      <c r="D5" s="1581" t="s">
        <v>177</v>
      </c>
    </row>
    <row r="6" spans="1:4" ht="15.75" customHeight="1">
      <c r="A6" s="1566"/>
      <c r="B6" s="1582"/>
      <c r="C6" s="1582"/>
      <c r="D6" s="1582"/>
    </row>
    <row r="7" spans="1:4" ht="26.25" customHeight="1" thickBot="1">
      <c r="A7" s="441" t="str">
        <f>Datos!A7</f>
        <v>COMPETENCIAS</v>
      </c>
      <c r="B7" s="1583"/>
      <c r="C7" s="1583"/>
      <c r="D7" s="1583"/>
    </row>
    <row r="8" spans="1:4">
      <c r="A8" s="445" t="str">
        <f>Datos!A8</f>
        <v>Jurisdicción Civil ( 1 ):</v>
      </c>
      <c r="B8" s="486"/>
      <c r="C8" s="487"/>
      <c r="D8" s="488"/>
    </row>
    <row r="9" spans="1:4">
      <c r="A9" s="451" t="str">
        <f>Datos!A9</f>
        <v xml:space="preserve">Jdos. 1ª Instancia   </v>
      </c>
      <c r="B9" s="489">
        <f>IF(ISNUMBER(Datos!P9),Datos!P9," - ")</f>
        <v>6660</v>
      </c>
      <c r="C9" s="490">
        <f>IF(ISNUMBER(Datos!Q9),Datos!Q9," - ")</f>
        <v>8782</v>
      </c>
      <c r="D9" s="457">
        <f>IF(ISNUMBER(Datos!R9),Datos!R9," - ")</f>
        <v>21751</v>
      </c>
    </row>
    <row r="10" spans="1:4">
      <c r="A10" s="451" t="str">
        <f>Datos!A10</f>
        <v>Jdos. Violencia contra la mujer</v>
      </c>
      <c r="B10" s="489">
        <f>IF(ISNUMBER(Datos!P10),Datos!P10," - ")</f>
        <v>163</v>
      </c>
      <c r="C10" s="490">
        <f>IF(ISNUMBER(Datos!Q10),Datos!Q10," - ")</f>
        <v>195</v>
      </c>
      <c r="D10" s="457">
        <f>IF(ISNUMBER(Datos!R10),Datos!R10," - ")</f>
        <v>285</v>
      </c>
    </row>
    <row r="11" spans="1:4">
      <c r="A11" s="451" t="str">
        <f>Datos!A11</f>
        <v xml:space="preserve">Jdos. Familia                                   </v>
      </c>
      <c r="B11" s="489">
        <f>IF(ISNUMBER(Datos!P11),Datos!P11," - ")</f>
        <v>879</v>
      </c>
      <c r="C11" s="490">
        <f>IF(ISNUMBER(Datos!Q11),Datos!Q11," - ")</f>
        <v>1135</v>
      </c>
      <c r="D11" s="457">
        <f>IF(ISNUMBER(Datos!R11),Datos!R11," - ")</f>
        <v>2366</v>
      </c>
    </row>
    <row r="12" spans="1:4">
      <c r="A12" s="451" t="str">
        <f>Datos!A12</f>
        <v xml:space="preserve">Jdos. 1ª Instª. e Instr.                        </v>
      </c>
      <c r="B12" s="489" t="str">
        <f>IF(ISNUMBER(Datos!P12),Datos!P12," - ")</f>
        <v xml:space="preserve"> - </v>
      </c>
      <c r="C12" s="490" t="str">
        <f>IF(ISNUMBER(Datos!Q12),Datos!Q12," - ")</f>
        <v xml:space="preserve"> - </v>
      </c>
      <c r="D12" s="457" t="str">
        <f>IF(ISNUMBER(Datos!R12),Datos!R12," - ")</f>
        <v xml:space="preserve"> - </v>
      </c>
    </row>
    <row r="13" spans="1:4" ht="13.5" thickBot="1">
      <c r="A13" s="451" t="str">
        <f>Datos!A13</f>
        <v xml:space="preserve">Jdos. de Menores    </v>
      </c>
      <c r="B13" s="489" t="str">
        <f>IF(ISNUMBER(Datos!P13),Datos!P13," - ")</f>
        <v xml:space="preserve"> - </v>
      </c>
      <c r="C13" s="490" t="str">
        <f>IF(ISNUMBER(Datos!Q13),Datos!Q13," - ")</f>
        <v xml:space="preserve"> - </v>
      </c>
      <c r="D13" s="457" t="str">
        <f>IF(ISNUMBER(Datos!R13),Datos!R13," - ")</f>
        <v xml:space="preserve"> - </v>
      </c>
    </row>
    <row r="14" spans="1:4" ht="14.25" thickTop="1" thickBot="1">
      <c r="A14" s="1148" t="str">
        <f>Datos!A14</f>
        <v>TOTAL</v>
      </c>
      <c r="B14" s="1149">
        <f>SUBTOTAL(9,B9:B13)</f>
        <v>7702</v>
      </c>
      <c r="C14" s="1153">
        <f>SUBTOTAL(9,C9:C13)</f>
        <v>10112</v>
      </c>
      <c r="D14" s="1151">
        <f>SUBTOTAL(9,D9:D13)</f>
        <v>24402</v>
      </c>
    </row>
    <row r="15" spans="1:4" ht="13.5" thickTop="1">
      <c r="A15" s="445" t="str">
        <f>Datos!A15</f>
        <v xml:space="preserve">Jurisdicción Penal ( 2 ):                      </v>
      </c>
      <c r="B15" s="455"/>
      <c r="C15" s="491"/>
      <c r="D15" s="457"/>
    </row>
    <row r="16" spans="1:4">
      <c r="A16" s="451" t="str">
        <f>Datos!A16</f>
        <v xml:space="preserve">Jdos. Instrucción                               </v>
      </c>
      <c r="B16" s="489">
        <f>IF(ISNUMBER(Datos!P16),Datos!P16," - ")</f>
        <v>1971</v>
      </c>
      <c r="C16" s="490">
        <f>IF(ISNUMBER(Datos!Q16),Datos!Q16," - ")</f>
        <v>1980</v>
      </c>
      <c r="D16" s="457">
        <f>IF(ISNUMBER(Datos!R16),Datos!R16," - ")</f>
        <v>1106</v>
      </c>
    </row>
    <row r="17" spans="1:4">
      <c r="A17" s="451" t="str">
        <f>Datos!A17</f>
        <v xml:space="preserve">Jdos. 1ª Instª. e Instr.                        </v>
      </c>
      <c r="B17" s="489" t="str">
        <f>IF(ISNUMBER(Datos!P17),Datos!P17," - ")</f>
        <v xml:space="preserve"> - </v>
      </c>
      <c r="C17" s="490" t="str">
        <f>IF(ISNUMBER(Datos!Q17),Datos!Q17," - ")</f>
        <v xml:space="preserve"> - </v>
      </c>
      <c r="D17" s="457" t="str">
        <f>IF(ISNUMBER(Datos!R17),Datos!R17," - ")</f>
        <v xml:space="preserve"> - </v>
      </c>
    </row>
    <row r="18" spans="1:4">
      <c r="A18" s="451" t="str">
        <f>Datos!A18</f>
        <v>Jdos. Violencia contra la mujer</v>
      </c>
      <c r="B18" s="489">
        <f>IF(ISNUMBER(Datos!P18),Datos!P18," - ")</f>
        <v>35</v>
      </c>
      <c r="C18" s="490">
        <f>IF(ISNUMBER(Datos!Q18),Datos!Q18," - ")</f>
        <v>27</v>
      </c>
      <c r="D18" s="457">
        <f>IF(ISNUMBER(Datos!R18),Datos!R18," - ")</f>
        <v>29</v>
      </c>
    </row>
    <row r="19" spans="1:4">
      <c r="A19" s="451" t="str">
        <f>Datos!A19</f>
        <v xml:space="preserve">Jdos. de Menores                                </v>
      </c>
      <c r="B19" s="489" t="str">
        <f>IF(ISNUMBER(Datos!P19),Datos!P19," - ")</f>
        <v xml:space="preserve"> - </v>
      </c>
      <c r="C19" s="490" t="str">
        <f>IF(ISNUMBER(Datos!Q19),Datos!Q19," - ")</f>
        <v xml:space="preserve"> - </v>
      </c>
      <c r="D19" s="457" t="str">
        <f>IF(ISNUMBER(Datos!R19),Datos!R19," - ")</f>
        <v xml:space="preserve"> - </v>
      </c>
    </row>
    <row r="20" spans="1:4">
      <c r="A20" s="451" t="str">
        <f>Datos!A20</f>
        <v xml:space="preserve">Jdos. Vigilancia Penitenciaria                  </v>
      </c>
      <c r="B20" s="489" t="str">
        <f>IF(ISNUMBER(Datos!P20),Datos!P20," - ")</f>
        <v xml:space="preserve"> - </v>
      </c>
      <c r="C20" s="490" t="str">
        <f>IF(ISNUMBER(Datos!Q20),Datos!Q20," - ")</f>
        <v xml:space="preserve"> - </v>
      </c>
      <c r="D20" s="457" t="str">
        <f>IF(ISNUMBER(Datos!R20),Datos!R20," - ")</f>
        <v xml:space="preserve"> - </v>
      </c>
    </row>
    <row r="21" spans="1:4">
      <c r="A21" s="451" t="str">
        <f>Datos!A21</f>
        <v xml:space="preserve">Jdos. de lo Penal                               </v>
      </c>
      <c r="B21" s="489" t="str">
        <f>IF(ISNUMBER(Datos!P21),Datos!P21," - ")</f>
        <v xml:space="preserve"> - </v>
      </c>
      <c r="C21" s="490" t="str">
        <f>IF(ISNUMBER(Datos!Q21),Datos!Q21," - ")</f>
        <v xml:space="preserve"> - </v>
      </c>
      <c r="D21" s="457" t="str">
        <f>IF(ISNUMBER(Datos!R21),Datos!R21," - ")</f>
        <v xml:space="preserve"> - </v>
      </c>
    </row>
    <row r="22" spans="1:4" ht="13.5" thickBot="1">
      <c r="A22" s="451" t="str">
        <f>Datos!A22</f>
        <v xml:space="preserve">Jdos. de lo Penal de Ejecutorias                </v>
      </c>
      <c r="B22" s="489" t="str">
        <f>IF(ISNUMBER(Datos!P22),Datos!P22," - ")</f>
        <v xml:space="preserve"> - </v>
      </c>
      <c r="C22" s="490" t="str">
        <f>IF(ISNUMBER(Datos!Q22),Datos!Q22," - ")</f>
        <v xml:space="preserve"> - </v>
      </c>
      <c r="D22" s="457" t="str">
        <f>IF(ISNUMBER(Datos!R22),Datos!R22," - ")</f>
        <v xml:space="preserve"> - </v>
      </c>
    </row>
    <row r="23" spans="1:4" ht="14.25" thickTop="1" thickBot="1">
      <c r="A23" s="1148" t="str">
        <f>Datos!A23</f>
        <v>TOTAL</v>
      </c>
      <c r="B23" s="1149">
        <f>SUBTOTAL(9,B16:B22)</f>
        <v>2006</v>
      </c>
      <c r="C23" s="1153">
        <f>SUBTOTAL(9,C16:C22)</f>
        <v>2007</v>
      </c>
      <c r="D23" s="1151">
        <f>SUBTOTAL(9,D16:D22)</f>
        <v>1135</v>
      </c>
    </row>
    <row r="24" spans="1:4" ht="13.5" thickTop="1">
      <c r="A24" s="445" t="str">
        <f>Datos!A24</f>
        <v xml:space="preserve">Jurisdicción Cont.-Admva.:                      </v>
      </c>
      <c r="B24" s="455"/>
      <c r="C24" s="491"/>
      <c r="D24" s="457"/>
    </row>
    <row r="25" spans="1:4" ht="13.5" thickBot="1">
      <c r="A25" s="451" t="str">
        <f>Datos!A25</f>
        <v xml:space="preserve">Jdos Cont.-Admvo.                               </v>
      </c>
      <c r="B25" s="489" t="str">
        <f>IF(ISNUMBER(Datos!P25),Datos!P25," - ")</f>
        <v xml:space="preserve"> - </v>
      </c>
      <c r="C25" s="490" t="str">
        <f>IF(ISNUMBER(Datos!Q25),Datos!Q25," - ")</f>
        <v xml:space="preserve"> - </v>
      </c>
      <c r="D25" s="457" t="str">
        <f>IF(ISNUMBER(Datos!R25),Datos!R25," - ")</f>
        <v xml:space="preserve"> - </v>
      </c>
    </row>
    <row r="26" spans="1:4" ht="14.25" thickTop="1" thickBot="1">
      <c r="A26" s="1148" t="str">
        <f>Datos!A26</f>
        <v>TOTAL</v>
      </c>
      <c r="B26" s="1149">
        <f>SUBTOTAL(9,B25:B25)</f>
        <v>0</v>
      </c>
      <c r="C26" s="1153">
        <f>SUBTOTAL(9,C25:C25)</f>
        <v>0</v>
      </c>
      <c r="D26" s="1151">
        <f>SUBTOTAL(9,D25:D25)</f>
        <v>0</v>
      </c>
    </row>
    <row r="27" spans="1:4" ht="13.5" thickTop="1">
      <c r="A27" s="445" t="str">
        <f>Datos!A27</f>
        <v xml:space="preserve">Jurisdicción Social:                            </v>
      </c>
      <c r="B27" s="455"/>
      <c r="C27" s="491"/>
      <c r="D27" s="457"/>
    </row>
    <row r="28" spans="1:4">
      <c r="A28" s="451" t="str">
        <f>Datos!A28</f>
        <v xml:space="preserve">Jdos. de lo Social                              </v>
      </c>
      <c r="B28" s="489" t="str">
        <f>IF(ISNUMBER(Datos!P28),Datos!P28," - ")</f>
        <v xml:space="preserve"> - </v>
      </c>
      <c r="C28" s="490" t="str">
        <f>IF(ISNUMBER(Datos!Q28),Datos!Q28," - ")</f>
        <v xml:space="preserve"> - </v>
      </c>
      <c r="D28" s="457" t="str">
        <f>IF(ISNUMBER(Datos!R28),Datos!R28," - ")</f>
        <v xml:space="preserve"> - </v>
      </c>
    </row>
    <row r="29" spans="1:4" ht="13.5" thickBot="1">
      <c r="A29" s="451" t="str">
        <f>Datos!A29</f>
        <v>Jdos. De lo Social de Ejecuciones</v>
      </c>
      <c r="B29" s="489" t="str">
        <f>IF(ISNUMBER(Datos!P29),Datos!P29," - ")</f>
        <v xml:space="preserve"> - </v>
      </c>
      <c r="C29" s="490" t="str">
        <f>IF(ISNUMBER(Datos!Q29),Datos!Q29," - ")</f>
        <v xml:space="preserve"> - </v>
      </c>
      <c r="D29" s="457" t="str">
        <f>IF(ISNUMBER(Datos!R29),Datos!R29," - ")</f>
        <v xml:space="preserve"> - </v>
      </c>
    </row>
    <row r="30" spans="1:4" ht="14.25" thickTop="1" thickBot="1">
      <c r="A30" s="1148" t="str">
        <f>Datos!A30</f>
        <v>TOTAL</v>
      </c>
      <c r="B30" s="1149">
        <f>SUBTOTAL(9,B28:B29)</f>
        <v>0</v>
      </c>
      <c r="C30" s="1153">
        <f>SUBTOTAL(9,C28:C29)</f>
        <v>0</v>
      </c>
      <c r="D30" s="1151">
        <f>SUBTOTAL(9,D28:D29)</f>
        <v>0</v>
      </c>
    </row>
    <row r="31" spans="1:4" ht="16.5" customHeight="1" thickTop="1" thickBot="1">
      <c r="A31" s="1086" t="str">
        <f>Datos!A31</f>
        <v>TOTAL JURISDICCIONES</v>
      </c>
      <c r="B31" s="1091">
        <f>SUBTOTAL(9,B8:B30)</f>
        <v>9708</v>
      </c>
      <c r="C31" s="1092">
        <f>SUBTOTAL(9,C8:C30)</f>
        <v>12119</v>
      </c>
      <c r="D31" s="1093">
        <f>SUBTOTAL(9,D8:D30)</f>
        <v>25537</v>
      </c>
    </row>
    <row r="32" spans="1:4" ht="7.5" customHeight="1"/>
    <row r="33" spans="1:1" ht="6" customHeight="1"/>
    <row r="34" spans="1:1">
      <c r="A34" s="440" t="str">
        <f>Criterios!A4</f>
        <v>Fecha Informe: 05 abr. 2022</v>
      </c>
    </row>
    <row r="39" spans="1:1">
      <c r="A39" s="463"/>
    </row>
  </sheetData>
  <sheetProtection algorithmName="SHA-512" hashValue="5e5Z6YAFTI/Toc4bymQ4P6t4zM+4oTu40yNjgjUqzh87xyj2PY98YmbBh8Jm599gnaQp2Dg9xVB8P8oiDN86IA==" saltValue="WjyQPBcY9CfEgtxjLyn0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41"/>
  <sheetViews>
    <sheetView zoomScale="85" zoomScaleNormal="85" workbookViewId="0">
      <selection activeCell="D9" sqref="D9"/>
    </sheetView>
  </sheetViews>
  <sheetFormatPr baseColWidth="10" defaultColWidth="11.42578125" defaultRowHeight="12.75"/>
  <cols>
    <col min="1" max="1" width="32" style="436" customWidth="1"/>
    <col min="2" max="2" width="13.28515625" style="436" customWidth="1"/>
    <col min="3" max="3" width="12" style="436" customWidth="1"/>
    <col min="4" max="4" width="10.5703125" style="436" bestFit="1" customWidth="1"/>
    <col min="5" max="5" width="13.42578125" style="436" bestFit="1" customWidth="1"/>
    <col min="6" max="6" width="11.140625" style="436" customWidth="1"/>
    <col min="7" max="7" width="11.28515625" style="436" customWidth="1"/>
    <col min="8" max="8" width="12.7109375" style="436" bestFit="1" customWidth="1"/>
    <col min="9" max="10" width="12.28515625" style="436" customWidth="1"/>
    <col min="11" max="11" width="12.7109375" style="436" bestFit="1" customWidth="1"/>
    <col min="12" max="16384" width="11.42578125" style="436"/>
  </cols>
  <sheetData>
    <row r="1" spans="1:11" ht="97.5" customHeight="1"/>
    <row r="2" spans="1:11" ht="10.5" customHeight="1">
      <c r="B2" s="438" t="str">
        <f>Criterios!A9 &amp;"  "&amp;Criterios!B9</f>
        <v>Tribunales de Justicia  ANDALUCIA</v>
      </c>
    </row>
    <row r="3" spans="1:11" ht="18.75" customHeight="1">
      <c r="A3" s="485" t="s">
        <v>165</v>
      </c>
      <c r="B3" s="440" t="str">
        <f>Criterios!A10 &amp;"  "&amp;Criterios!B10</f>
        <v>Provincias  MALAGA</v>
      </c>
    </row>
    <row r="4" spans="1:11" ht="10.5" customHeight="1" thickBot="1">
      <c r="B4" s="440" t="str">
        <f>Criterios!A11 &amp;"  "&amp;Criterios!B11</f>
        <v>Resumenes por Partidos Judiciales  MALAGA</v>
      </c>
    </row>
    <row r="5" spans="1:11" ht="12.75" customHeight="1">
      <c r="A5" s="1565" t="str">
        <f>"Año:  " &amp;Criterios!B5 &amp; "    Trimestre   " &amp;Criterios!D5 &amp; " al " &amp;Criterios!D6</f>
        <v>Año:  2021    Trimestre   1 al 4</v>
      </c>
      <c r="B5" s="1599" t="s">
        <v>176</v>
      </c>
      <c r="C5" s="1562" t="s">
        <v>18</v>
      </c>
      <c r="D5" s="1546" t="s">
        <v>14</v>
      </c>
      <c r="E5" s="1546" t="s">
        <v>177</v>
      </c>
      <c r="F5" s="1562" t="s">
        <v>12</v>
      </c>
      <c r="G5" s="1586" t="s">
        <v>13</v>
      </c>
      <c r="H5" s="1579" t="s">
        <v>166</v>
      </c>
      <c r="I5" s="1591" t="s">
        <v>167</v>
      </c>
      <c r="J5" s="1594" t="s">
        <v>168</v>
      </c>
      <c r="K5" s="1559" t="s">
        <v>169</v>
      </c>
    </row>
    <row r="6" spans="1:11" ht="12.75" customHeight="1">
      <c r="A6" s="1566"/>
      <c r="B6" s="1600"/>
      <c r="C6" s="1563"/>
      <c r="D6" s="1547"/>
      <c r="E6" s="1547"/>
      <c r="F6" s="1563"/>
      <c r="G6" s="1587"/>
      <c r="H6" s="1589"/>
      <c r="I6" s="1592"/>
      <c r="J6" s="1595"/>
      <c r="K6" s="1597"/>
    </row>
    <row r="7" spans="1:11" ht="23.25" customHeight="1" thickBot="1">
      <c r="A7" s="441" t="str">
        <f>Datos!A7</f>
        <v>COMPETENCIAS</v>
      </c>
      <c r="B7" s="1601"/>
      <c r="C7" s="1564"/>
      <c r="D7" s="1548"/>
      <c r="E7" s="1548"/>
      <c r="F7" s="1564"/>
      <c r="G7" s="1588"/>
      <c r="H7" s="1590"/>
      <c r="I7" s="1593"/>
      <c r="J7" s="1596"/>
      <c r="K7" s="1598"/>
    </row>
    <row r="8" spans="1:11">
      <c r="A8" s="445" t="str">
        <f>Datos!A8</f>
        <v>Jurisdicción Civil ( 1 ):</v>
      </c>
      <c r="B8" s="509"/>
      <c r="C8" s="510"/>
      <c r="D8" s="510"/>
      <c r="E8" s="510"/>
      <c r="F8" s="511"/>
      <c r="G8" s="512"/>
      <c r="H8" s="494"/>
      <c r="I8" s="495"/>
      <c r="J8" s="496"/>
      <c r="K8" s="513"/>
    </row>
    <row r="9" spans="1:11">
      <c r="A9" s="451" t="str">
        <f>Datos!A9</f>
        <v xml:space="preserve">Jdos. 1ª Instancia   </v>
      </c>
      <c r="B9" s="515">
        <f>IF(ISNUMBER(
   IF(J_V="SI",(Datos!I9-Datos!S9)/Datos!S9,(Datos!I9+Datos!Y9-(Datos!S9+Datos!AG9))/(Datos!S9+Datos!AG9))
     ),IF(J_V="SI",(Datos!I9-Datos!S9)/Datos!S9,(Datos!I9+Datos!Y9-(Datos!S9+Datos!AG9))/(Datos!S9+Datos!AG9))," - ")</f>
        <v>3.9151493407480489E-2</v>
      </c>
      <c r="C9" s="516">
        <f>IF(ISNUMBER(
   IF(J_V="SI",(Datos!J9-Datos!T9)/Datos!T9,(Datos!J9+Datos!Z9-(Datos!T9+Datos!AH9))/(Datos!T9+Datos!AH9))
     ),IF(J_V="SI",(Datos!J9-Datos!T9)/Datos!T9,(Datos!J9+Datos!Z9-(Datos!T9+Datos!AH9))/(Datos!T9+Datos!AH9))," - ")</f>
        <v>0.16546229386696312</v>
      </c>
      <c r="D9" s="516">
        <f>IF(ISNUMBER(
   IF(J_V="SI",(Datos!K9-Datos!U9)/Datos!U9,(Datos!K9+Datos!AA9-(Datos!U9+Datos!AI9))/(Datos!U9+Datos!AI9))
     ),IF(J_V="SI",(Datos!K9-Datos!U9)/Datos!U9,(Datos!K9+Datos!AA9-(Datos!U9+Datos!AI9))/(Datos!U9+Datos!AI9))," - ")</f>
        <v>0.22697243044085885</v>
      </c>
      <c r="E9" s="516">
        <f>IF(ISNUMBER(
   IF(J_V="SI",(Datos!L9-Datos!V9)/Datos!V9,(Datos!L9+Datos!AB9-(Datos!V9+Datos!AJ9))/(Datos!V9+Datos!AJ9))
     ),IF(J_V="SI",(Datos!L9-Datos!V9)/Datos!V9,(Datos!L9+Datos!AB9-(Datos!V9+Datos!AJ9))/(Datos!V9+Datos!AJ9))," - ")</f>
        <v>3.2713305424884556E-2</v>
      </c>
      <c r="F9" s="516">
        <f>IF(ISNUMBER((Datos!M9-Datos!W9)/Datos!W9),(Datos!M9-Datos!W9)/Datos!W9," - ")</f>
        <v>0.39391071146868589</v>
      </c>
      <c r="G9" s="517">
        <f>IF(ISNUMBER((Datos!N9-Datos!X9)/Datos!X9),(Datos!N9-Datos!X9)/Datos!X9," - ")</f>
        <v>0.17004870129870131</v>
      </c>
      <c r="H9" s="515">
        <f>IF(ISNUMBER(((NºAsuntos!G9/NºAsuntos!E9)-Datos!BD9)/Datos!BD9),((NºAsuntos!G9/NºAsuntos!E9)-Datos!BD9)/Datos!BD9," - ")</f>
        <v>5.2777457406886365E-2</v>
      </c>
      <c r="I9" s="516">
        <f>IF(ISNUMBER(((NºAsuntos!I9/NºAsuntos!G9)-Datos!BE9)/Datos!BE9),((NºAsuntos!I9/NºAsuntos!G9)-Datos!BE9)/Datos!BE9," - ")</f>
        <v>-0.15832395267934071</v>
      </c>
      <c r="J9" s="522">
        <f>IF(ISNUMBER((('Resol  Asuntos'!D9/NºAsuntos!G9)-Datos!BF9)/Datos!BF9),(('Resol  Asuntos'!D9/NºAsuntos!G9)-Datos!BF9)/Datos!BF9," - ")</f>
        <v>-0.58247531286065357</v>
      </c>
      <c r="K9" s="523">
        <f>IF(ISNUMBER((((NºAsuntos!C9+NºAsuntos!E9)/NºAsuntos!G9)-Datos!BG9)/Datos!BG9),(((NºAsuntos!C9+NºAsuntos!E9)/NºAsuntos!G9)-Datos!BG9)/Datos!BG9," - ")</f>
        <v>-9.2111700277291722E-2</v>
      </c>
    </row>
    <row r="10" spans="1:11">
      <c r="A10" s="451" t="str">
        <f>Datos!A10</f>
        <v>Jdos. Violencia contra la mujer</v>
      </c>
      <c r="B10" s="515">
        <f>IF(ISNUMBER((Datos!I10-Datos!S10)/Datos!S10),(Datos!I10-Datos!S10)/Datos!S10," - ")</f>
        <v>0.10169491525423729</v>
      </c>
      <c r="C10" s="516">
        <f>IF(ISNUMBER((Datos!J10-Datos!T10)/Datos!T10),(Datos!J10-Datos!T10)/Datos!T10," - ")</f>
        <v>-0.14519056261343014</v>
      </c>
      <c r="D10" s="516">
        <f>IF(ISNUMBER((Datos!K10-Datos!U10)/Datos!U10),(Datos!K10-Datos!U10)/Datos!U10," - ")</f>
        <v>9.4876660341555973E-3</v>
      </c>
      <c r="E10" s="516">
        <f>IF(ISNUMBER((Datos!L10-Datos!V10)/Datos!V10),(Datos!L10-Datos!V10)/Datos!V10," - ")</f>
        <v>-0.2153846153846154</v>
      </c>
      <c r="F10" s="516">
        <f>IF(ISNUMBER((Datos!M10-Datos!W10)/Datos!W10),(Datos!M10-Datos!W10)/Datos!W10," - ")</f>
        <v>0.37086092715231789</v>
      </c>
      <c r="G10" s="517">
        <f>IF(ISNUMBER((Datos!N10-Datos!X10)/Datos!X10),(Datos!N10-Datos!X10)/Datos!X10," - ")</f>
        <v>-0.17666666666666667</v>
      </c>
      <c r="H10" s="515">
        <f>IF(ISNUMBER(((NºAsuntos!G10/NºAsuntos!E10)-Datos!BD10)/Datos!BD10),((NºAsuntos!G10/NºAsuntos!E10)-Datos!BD10)/Datos!BD10," - ")</f>
        <v>0.18095053924590174</v>
      </c>
      <c r="I10" s="516">
        <f>IF(ISNUMBER(((NºAsuntos!I10/NºAsuntos!G10)-Datos!BE10)/Datos!BE10),((NºAsuntos!I10/NºAsuntos!G10)-Datos!BE10)/Datos!BE10," - ")</f>
        <v>-0.22275882012724121</v>
      </c>
      <c r="J10" s="522">
        <f>IF(ISNUMBER((('Resol  Asuntos'!D10/NºAsuntos!G10)-Datos!BF10)/Datos!BF10),(('Resol  Asuntos'!D10/NºAsuntos!G10)-Datos!BF10)/Datos!BF10," - ")</f>
        <v>0.35797689588208953</v>
      </c>
      <c r="K10" s="523">
        <f>IF(ISNUMBER((((NºAsuntos!C10+NºAsuntos!E10)/NºAsuntos!G10)-Datos!BG10)/Datos!BG10),(((NºAsuntos!C10+NºAsuntos!E10)/NºAsuntos!G10)-Datos!BG10)/Datos!BG10," - ")</f>
        <v>-7.988602382703909E-2</v>
      </c>
    </row>
    <row r="11" spans="1:11">
      <c r="A11" s="451" t="str">
        <f>Datos!A11</f>
        <v xml:space="preserve">Jdos. Familia                                   </v>
      </c>
      <c r="B11" s="515">
        <f>IF(ISNUMBER(
   IF(J_V="SI",(Datos!I11-Datos!S11)/Datos!S11,(Datos!I11+Datos!Y11-(Datos!S11+Datos!AG11))/(Datos!S11+Datos!AG11))
     ),IF(J_V="SI",(Datos!I11-Datos!S11)/Datos!S11,(Datos!I11+Datos!Y11-(Datos!S11+Datos!AG11))/(Datos!S11+Datos!AG11))," - ")</f>
        <v>0.36746203904555313</v>
      </c>
      <c r="C11" s="516">
        <f>IF(ISNUMBER(
   IF(J_V="SI",(Datos!J11-Datos!T11)/Datos!T11,(Datos!J11+Datos!Z11-(Datos!T11+Datos!AH11))/(Datos!T11+Datos!AH11))
     ),IF(J_V="SI",(Datos!J11-Datos!T11)/Datos!T11,(Datos!J11+Datos!Z11-(Datos!T11+Datos!AH11))/(Datos!T11+Datos!AH11))," - ")</f>
        <v>9.263754045307443E-2</v>
      </c>
      <c r="D11" s="516">
        <f>IF(ISNUMBER(
   IF(J_V="SI",(Datos!K11-Datos!U11)/Datos!U11,(Datos!K11+Datos!AA11-(Datos!U11+Datos!AI11))/(Datos!U11+Datos!AI11))
     ),IF(J_V="SI",(Datos!K11-Datos!U11)/Datos!U11,(Datos!K11+Datos!AA11-(Datos!U11+Datos!AI11))/(Datos!U11+Datos!AI11))," - ")</f>
        <v>0.48035147669026118</v>
      </c>
      <c r="E11" s="516">
        <f>IF(ISNUMBER(
   IF(J_V="SI",(Datos!L11-Datos!V11)/Datos!V11,(Datos!L11+Datos!AB11-(Datos!V11+Datos!AJ11))/(Datos!V11+Datos!AJ11))
     ),IF(J_V="SI",(Datos!L11-Datos!V11)/Datos!V11,(Datos!L11+Datos!AB11-(Datos!V11+Datos!AJ11))/(Datos!V11+Datos!AJ11))," - ")</f>
        <v>-0.17131979695431471</v>
      </c>
      <c r="F11" s="516">
        <f>IF(ISNUMBER((Datos!M11-Datos!W11)/Datos!W11),(Datos!M11-Datos!W11)/Datos!W11," - ")</f>
        <v>0.60886426592797782</v>
      </c>
      <c r="G11" s="517">
        <f>IF(ISNUMBER((Datos!N11-Datos!X11)/Datos!X11),(Datos!N11-Datos!X11)/Datos!X11," - ")</f>
        <v>0.33702127659574466</v>
      </c>
      <c r="H11" s="515">
        <f>IF(ISNUMBER(((NºAsuntos!G11/NºAsuntos!E11)-Datos!BD11)/Datos!BD11),((NºAsuntos!G11/NºAsuntos!E11)-Datos!BD11)/Datos!BD11," - ")</f>
        <v>0.35484222524188269</v>
      </c>
      <c r="I11" s="516">
        <f>IF(ISNUMBER(((NºAsuntos!I11/NºAsuntos!G11)-Datos!BE11)/Datos!BE11),((NºAsuntos!I11/NºAsuntos!G11)-Datos!BE11)/Datos!BE11," - ")</f>
        <v>-0.44021388427400293</v>
      </c>
      <c r="J11" s="522">
        <f>IF(ISNUMBER((('Resol  Asuntos'!D11/NºAsuntos!G11)-Datos!BF11)/Datos!BF11),(('Resol  Asuntos'!D11/NºAsuntos!G11)-Datos!BF11)/Datos!BF11," - ")</f>
        <v>0.66952875760818087</v>
      </c>
      <c r="K11" s="523">
        <f>IF(ISNUMBER((((NºAsuntos!C11+NºAsuntos!E11)/NºAsuntos!G11)-Datos!BG11)/Datos!BG11),(((NºAsuntos!C11+NºAsuntos!E11)/NºAsuntos!G11)-Datos!BG11)/Datos!BG11," - ")</f>
        <v>-0.20287522957085247</v>
      </c>
    </row>
    <row r="12" spans="1:11">
      <c r="A12" s="451" t="str">
        <f>Datos!A12</f>
        <v xml:space="preserve">Jdos. 1ª Instª. e Instr.                        </v>
      </c>
      <c r="B12" s="515" t="str">
        <f>IF(ISNUMBER(
   IF(J_V="SI",(Datos!I12-Datos!S12)/Datos!S12,(Datos!I12+Datos!Y12-(Datos!S12+Datos!AG12))/(Datos!S12+Datos!AG12))
     ),IF(J_V="SI",(Datos!I12-Datos!S12)/Datos!S12,(Datos!I12+Datos!Y12-(Datos!S12+Datos!AG12))/(Datos!S12+Datos!AG12))," - ")</f>
        <v xml:space="preserve"> - </v>
      </c>
      <c r="C12" s="516" t="str">
        <f>IF(ISNUMBER(
   IF(J_V="SI",(Datos!J12-Datos!T12)/Datos!T12,(Datos!J12+Datos!Z12-(Datos!T12+Datos!AH12))/(Datos!T12+Datos!AH12))
     ),IF(J_V="SI",(Datos!J12-Datos!T12)/Datos!T12,(Datos!J12+Datos!Z12-(Datos!T12+Datos!AH12))/(Datos!T12+Datos!AH12))," - ")</f>
        <v xml:space="preserve"> - </v>
      </c>
      <c r="D12" s="516" t="str">
        <f>IF(ISNUMBER(
   IF(J_V="SI",(Datos!K12-Datos!U12)/Datos!U12,(Datos!K12+Datos!AA12-(Datos!U12+Datos!AI12))/(Datos!U12+Datos!AI12))
     ),IF(J_V="SI",(Datos!K12-Datos!U12)/Datos!U12,(Datos!K12+Datos!AA12-(Datos!U12+Datos!AI12))/(Datos!U12+Datos!AI12))," - ")</f>
        <v xml:space="preserve"> - </v>
      </c>
      <c r="E12" s="516" t="str">
        <f>IF(ISNUMBER(
   IF(J_V="SI",(Datos!L12-Datos!V12)/Datos!V12,(Datos!L12+Datos!AB12-(Datos!V12+Datos!AJ12))/(Datos!V12+Datos!AJ12))
     ),IF(J_V="SI",(Datos!L12-Datos!V12)/Datos!V12,(Datos!L12+Datos!AB12-(Datos!V12+Datos!AJ12))/(Datos!V12+Datos!AJ12))," - ")</f>
        <v xml:space="preserve"> - </v>
      </c>
      <c r="F12" s="516" t="str">
        <f>IF(ISNUMBER((Datos!M12-Datos!W12)/Datos!W12),(Datos!M12-Datos!W12)/Datos!W12," - ")</f>
        <v xml:space="preserve"> - </v>
      </c>
      <c r="G12" s="517" t="str">
        <f>IF(ISNUMBER((Datos!N12-Datos!X12)/Datos!X12),(Datos!N12-Datos!X12)/Datos!X12," - ")</f>
        <v xml:space="preserve"> - </v>
      </c>
      <c r="H12" s="515" t="str">
        <f>IF(ISNUMBER(((NºAsuntos!G12/NºAsuntos!E12)-Datos!BD12)/Datos!BD12),((NºAsuntos!G12/NºAsuntos!E12)-Datos!BD12)/Datos!BD12," - ")</f>
        <v xml:space="preserve"> - </v>
      </c>
      <c r="I12" s="516" t="str">
        <f>IF(ISNUMBER(((NºAsuntos!I12/NºAsuntos!G12)-Datos!BE12)/Datos!BE12),((NºAsuntos!I12/NºAsuntos!G12)-Datos!BE12)/Datos!BE12," - ")</f>
        <v xml:space="preserve"> - </v>
      </c>
      <c r="J12" s="522" t="str">
        <f>IF(ISNUMBER((('Resol  Asuntos'!D12/NºAsuntos!G12)-Datos!BF12)/Datos!BF12),(('Resol  Asuntos'!D12/NºAsuntos!G12)-Datos!BF12)/Datos!BF12," - ")</f>
        <v xml:space="preserve"> - </v>
      </c>
      <c r="K12" s="523" t="str">
        <f>IF(ISNUMBER((((NºAsuntos!C12+NºAsuntos!E12)/NºAsuntos!G12)-Datos!BG12)/Datos!BG12),(((NºAsuntos!C12+NºAsuntos!E12)/NºAsuntos!G12)-Datos!BG12)/Datos!BG12," - ")</f>
        <v xml:space="preserve"> - </v>
      </c>
    </row>
    <row r="13" spans="1:11" ht="13.5" thickBot="1">
      <c r="A13" s="451" t="str">
        <f>Datos!A13</f>
        <v xml:space="preserve">Jdos. de Menores    </v>
      </c>
      <c r="B13" s="515" t="str">
        <f>IF(ISNUMBER((Datos!I13-Datos!S13)/Datos!S13),(Datos!I13-Datos!S13)/Datos!S13," - ")</f>
        <v xml:space="preserve"> - </v>
      </c>
      <c r="C13" s="516" t="str">
        <f>IF(ISNUMBER((Datos!J13-Datos!T13)/Datos!T13),(Datos!J13-Datos!T13)/Datos!T13," - ")</f>
        <v xml:space="preserve"> - </v>
      </c>
      <c r="D13" s="516" t="str">
        <f>IF(ISNUMBER((Datos!K13-Datos!U13)/Datos!U13),(Datos!K13-Datos!U13)/Datos!U13," - ")</f>
        <v xml:space="preserve"> - </v>
      </c>
      <c r="E13" s="516" t="str">
        <f>IF(ISNUMBER((Datos!L13-Datos!V13)/Datos!V13),(Datos!L13-Datos!V13)/Datos!V13," - ")</f>
        <v xml:space="preserve"> - </v>
      </c>
      <c r="F13" s="516" t="str">
        <f>IF(ISNUMBER((Datos!M13-Datos!W13)/Datos!W13),(Datos!M13-Datos!W13)/Datos!W13," - ")</f>
        <v xml:space="preserve"> - </v>
      </c>
      <c r="G13" s="517" t="str">
        <f>IF(ISNUMBER((Datos!N13-Datos!X13)/Datos!X13),(Datos!N13-Datos!X13)/Datos!X13," - ")</f>
        <v xml:space="preserve"> - </v>
      </c>
      <c r="H13" s="515" t="str">
        <f>IF(ISNUMBER(((NºAsuntos!G13/NºAsuntos!E13)-Datos!BD13)/Datos!BD13),((NºAsuntos!G13/NºAsuntos!E13)-Datos!BD13)/Datos!BD13," - ")</f>
        <v xml:space="preserve"> - </v>
      </c>
      <c r="I13" s="516" t="str">
        <f>IF(ISNUMBER(((NºAsuntos!I13/NºAsuntos!G13)-Datos!BE13)/Datos!BE13),((NºAsuntos!I13/NºAsuntos!G13)-Datos!BE13)/Datos!BE13," - ")</f>
        <v xml:space="preserve"> - </v>
      </c>
      <c r="J13" s="522" t="str">
        <f>IF(ISNUMBER((('Resol  Asuntos'!D13/NºAsuntos!G13)-Datos!BF13)/Datos!BF13),(('Resol  Asuntos'!D13/NºAsuntos!G13)-Datos!BF13)/Datos!BF13," - ")</f>
        <v xml:space="preserve"> - </v>
      </c>
      <c r="K13" s="523" t="str">
        <f>IF(ISNUMBER((((NºAsuntos!C13+NºAsuntos!E13)/NºAsuntos!G13)-Datos!BG13)/Datos!BG13),(((NºAsuntos!C13+NºAsuntos!E13)/NºAsuntos!G13)-Datos!BG13)/Datos!BG13," - ")</f>
        <v xml:space="preserve"> - </v>
      </c>
    </row>
    <row r="14" spans="1:11" ht="14.25" thickTop="1" thickBot="1">
      <c r="A14" s="1148" t="str">
        <f>Datos!A14</f>
        <v>TOTAL</v>
      </c>
      <c r="B14" s="1154">
        <f>IF(ISNUMBER(
   IF(J_V="SI",(Datos!I14-Datos!S14)/Datos!S14,(Datos!I14+Datos!Y14-(Datos!S14+Datos!AG14))/(Datos!S14+Datos!AG14))
     ),IF(J_V="SI",(Datos!I14-Datos!S14)/Datos!S14,(Datos!I14+Datos!Y14-(Datos!S14+Datos!AG14))/(Datos!S14+Datos!AG14))," - ")</f>
        <v>7.0212166351302382E-2</v>
      </c>
      <c r="C14" s="1155">
        <f>IF(ISNUMBER(
   IF(J_V="SI",(Datos!J14-Datos!T14)/Datos!T14,(Datos!J14+Datos!Z14-(Datos!T14+Datos!AH14))/(Datos!T14+Datos!AH14))
     ),IF(J_V="SI",(Datos!J14-Datos!T14)/Datos!T14,(Datos!J14+Datos!Z14-(Datos!T14+Datos!AH14))/(Datos!T14+Datos!AH14))," - ")</f>
        <v>0.15143754785225863</v>
      </c>
      <c r="D14" s="1155">
        <f>IF(ISNUMBER(
   IF(J_V="SI",(Datos!K14-Datos!U14)/Datos!U14,(Datos!K14+Datos!AA14-(Datos!U14+Datos!AI14))/(Datos!U14+Datos!AI14))
     ),IF(J_V="SI",(Datos!K14-Datos!U14)/Datos!U14,(Datos!K14+Datos!AA14-(Datos!U14+Datos!AI14))/(Datos!U14+Datos!AI14))," - ")</f>
        <v>0.25254791182009528</v>
      </c>
      <c r="E14" s="1155">
        <f>IF(ISNUMBER(
   IF(J_V="SI",(Datos!L14-Datos!V14)/Datos!V14,(Datos!L14+Datos!AB14-(Datos!V14+Datos!AJ14))/(Datos!V14+Datos!AJ14))
     ),IF(J_V="SI",(Datos!L14-Datos!V14)/Datos!V14,(Datos!L14+Datos!AB14-(Datos!V14+Datos!AJ14))/(Datos!V14+Datos!AJ14))," - ")</f>
        <v>6.0941203024489337E-3</v>
      </c>
      <c r="F14" s="1156">
        <f>IF(ISNUMBER((Datos!M14-Datos!W14)/Datos!W14),(Datos!M14-Datos!W14)/Datos!W14," - ")</f>
        <v>0.44026522001205548</v>
      </c>
      <c r="G14" s="1157">
        <f>IF(ISNUMBER((Datos!N14-Datos!X14)/Datos!X14),(Datos!N14-Datos!X14)/Datos!X14," - ")</f>
        <v>0.17497195962185547</v>
      </c>
      <c r="H14" s="1157">
        <f>IF(ISNUMBER(((NºAsuntos!G14/NºAsuntos!E14)-Datos!BD14)/Datos!BD14),((NºAsuntos!G14/NºAsuntos!E14)-Datos!BD14)/Datos!BD14," - ")</f>
        <v>8.781228661201354E-2</v>
      </c>
      <c r="I14" s="1157">
        <f>IF(ISNUMBER(((NºAsuntos!I14/NºAsuntos!G14)-Datos!BE14)/Datos!BE14),((NºAsuntos!I14/NºAsuntos!G14)-Datos!BE14)/Datos!BE14," - ")</f>
        <v>-0.19676196749992644</v>
      </c>
      <c r="J14" s="1157">
        <f>IF(ISNUMBER((('Resol  Asuntos'!D14/NºAsuntos!G14)-Datos!BF14)/Datos!BF14),(('Resol  Asuntos'!D14/NºAsuntos!G14)-Datos!BF14)/Datos!BF14," - ")</f>
        <v>-0.48647797505084656</v>
      </c>
      <c r="K14" s="1157">
        <f>IF(ISNUMBER((((NºAsuntos!C14+NºAsuntos!E14)/NºAsuntos!G14)-Datos!BG14)/Datos!BG14),(((NºAsuntos!C14+NºAsuntos!E14)/NºAsuntos!G14)-Datos!BG14)/Datos!BG14," - ")</f>
        <v>-0.10640718819236959</v>
      </c>
    </row>
    <row r="15" spans="1:11" ht="13.5" thickTop="1">
      <c r="A15" s="445" t="str">
        <f>Datos!A15</f>
        <v xml:space="preserve">Jurisdicción Penal ( 2 ):                      </v>
      </c>
      <c r="B15" s="518"/>
      <c r="C15" s="519"/>
      <c r="D15" s="519"/>
      <c r="E15" s="519"/>
      <c r="F15" s="519"/>
      <c r="G15" s="520"/>
      <c r="H15" s="515"/>
      <c r="I15" s="516"/>
      <c r="J15" s="522"/>
      <c r="K15" s="523"/>
    </row>
    <row r="16" spans="1:11">
      <c r="A16" s="451" t="str">
        <f>Datos!A16</f>
        <v xml:space="preserve">Jdos. Instrucción                               </v>
      </c>
      <c r="B16" s="515">
        <f>IF(ISNUMBER(
   IF(D_I="SI",(Datos!I16-Datos!S16)/Datos!S16,(Datos!I16+Datos!AC16-(Datos!S16+Datos!AK16))/(Datos!S16+Datos!AK16))
     ),IF(D_I="SI",(Datos!I16-Datos!S16)/Datos!S16,(Datos!I16+Datos!AC16-(Datos!S16+Datos!AK16))/(Datos!S16+Datos!AK16))," - ")</f>
        <v>0.17131217838765009</v>
      </c>
      <c r="C16" s="516">
        <f>IF(ISNUMBER(
   IF(D_I="SI",(Datos!J16-Datos!T16)/Datos!T16,(Datos!J16+Datos!AD16-(Datos!T16+Datos!AL16))/(Datos!T16+Datos!AL16))
     ),IF(D_I="SI",(Datos!J16-Datos!T16)/Datos!T16,(Datos!J16+Datos!AD16-(Datos!T16+Datos!AL16))/(Datos!T16+Datos!AL16))," - ")</f>
        <v>0.15987636976678843</v>
      </c>
      <c r="D16" s="516">
        <f>IF(ISNUMBER(
   IF(D_I="SI",(Datos!K16-Datos!U16)/Datos!U16,(Datos!K16+Datos!AE16-(Datos!U16+Datos!AM16))/(Datos!U16+Datos!AM16))
     ),IF(D_I="SI",(Datos!K16-Datos!U16)/Datos!U16,(Datos!K16+Datos!AE16-(Datos!U16+Datos!AM16))/(Datos!U16+Datos!AM16))," - ")</f>
        <v>0.18307308970099667</v>
      </c>
      <c r="E16" s="516">
        <f>IF(ISNUMBER(
   IF(D_I="SI",(Datos!L16-Datos!V16)/Datos!V16,(Datos!L16+Datos!AF16-(Datos!V16+Datos!AN16))/(Datos!V16+Datos!AN16))
     ),IF(D_I="SI",(Datos!L16-Datos!V16)/Datos!V16,(Datos!L16+Datos!AF16-(Datos!V16+Datos!AN16))/(Datos!V16+Datos!AN16))," - ")</f>
        <v>-7.248764415156507E-2</v>
      </c>
      <c r="F16" s="516">
        <f>IF(ISNUMBER((Datos!M16-Datos!W16)/Datos!W16),(Datos!M16-Datos!W16)/Datos!W16," - ")</f>
        <v>0.36558880308880309</v>
      </c>
      <c r="G16" s="517">
        <f>IF(ISNUMBER((Datos!N16-Datos!X16)/Datos!X16),(Datos!N16-Datos!X16)/Datos!X16," - ")</f>
        <v>0.1970051580358563</v>
      </c>
      <c r="H16" s="515">
        <f>IF(ISNUMBER(((NºAsuntos!G16/NºAsuntos!E16)-Datos!BD16)/Datos!BD16),((NºAsuntos!G16/NºAsuntos!E16)-Datos!BD16)/Datos!BD16," - ")</f>
        <v>1.9999303838625727E-2</v>
      </c>
      <c r="I16" s="516">
        <f>IF(ISNUMBER(((NºAsuntos!I16/NºAsuntos!G16)-Datos!BE16)/Datos!BE16),((NºAsuntos!I16/NºAsuntos!G16)-Datos!BE16)/Datos!BE16," - ")</f>
        <v>-0.21601432411682253</v>
      </c>
      <c r="J16" s="522">
        <f>IF(ISNUMBER((('Resol  Asuntos'!D16/NºAsuntos!G16)-Datos!BF16)/Datos!BF16),(('Resol  Asuntos'!D16/NºAsuntos!G16)-Datos!BF16)/Datos!BF16," - ")</f>
        <v>0.15427255930057071</v>
      </c>
      <c r="K16" s="523">
        <f>IF(ISNUMBER((((NºAsuntos!C16+NºAsuntos!E16)/NºAsuntos!G16)-Datos!BG16)/Datos!BG16),(((NºAsuntos!C16+NºAsuntos!E16)/NºAsuntos!G16)-Datos!BG16)/Datos!BG16," - ")</f>
        <v>-1.8915365153965618E-2</v>
      </c>
    </row>
    <row r="17" spans="1:11">
      <c r="A17" s="451" t="str">
        <f>Datos!A17</f>
        <v xml:space="preserve">Jdos. 1ª Instª. e Instr.                        </v>
      </c>
      <c r="B17" s="515" t="str">
        <f>IF(ISNUMBER(
   IF(D_I="SI",(Datos!I17-Datos!S17)/Datos!S17,(Datos!I17+Datos!AC17-(Datos!S17+Datos!AK17))/(Datos!S17+Datos!AK17))
     ),IF(D_I="SI",(Datos!I17-Datos!S17)/Datos!S17,(Datos!I17+Datos!AC17-(Datos!S17+Datos!AK17))/(Datos!S17+Datos!AK17))," - ")</f>
        <v xml:space="preserve"> - </v>
      </c>
      <c r="C17" s="516" t="str">
        <f>IF(ISNUMBER(
   IF(D_I="SI",(Datos!J17-Datos!T17)/Datos!T17,(Datos!J17+Datos!AD17-(Datos!T17+Datos!AL17))/(Datos!T17+Datos!AL17))
     ),IF(D_I="SI",(Datos!J17-Datos!T17)/Datos!T17,(Datos!J17+Datos!AD17-(Datos!T17+Datos!AL17))/(Datos!T17+Datos!AL17))," - ")</f>
        <v xml:space="preserve"> - </v>
      </c>
      <c r="D17" s="516" t="str">
        <f>IF(ISNUMBER(
   IF(D_I="SI",(Datos!K17-Datos!U17)/Datos!U17,(Datos!K17+Datos!AE17-(Datos!U17+Datos!AM17))/(Datos!U17+Datos!AM17))
     ),IF(D_I="SI",(Datos!K17-Datos!U17)/Datos!U17,(Datos!K17+Datos!AE17-(Datos!U17+Datos!AM17))/(Datos!U17+Datos!AM17))," - ")</f>
        <v xml:space="preserve"> - </v>
      </c>
      <c r="E17" s="516" t="str">
        <f>IF(ISNUMBER(
   IF(D_I="SI",(Datos!L17-Datos!V17)/Datos!V17,(Datos!L17+Datos!AF17-(Datos!V17+Datos!AN17))/(Datos!V17+Datos!AN17))
     ),IF(D_I="SI",(Datos!L17-Datos!V17)/Datos!V17,(Datos!L17+Datos!AF17-(Datos!V17+Datos!AN17))/(Datos!V17+Datos!AN17))," - ")</f>
        <v xml:space="preserve"> - </v>
      </c>
      <c r="F17" s="516" t="str">
        <f>IF(ISNUMBER((Datos!M17-Datos!W17)/Datos!W17),(Datos!M17-Datos!W17)/Datos!W17," - ")</f>
        <v xml:space="preserve"> - </v>
      </c>
      <c r="G17" s="517" t="str">
        <f>IF(ISNUMBER((Datos!N17-Datos!X17)/Datos!X17),(Datos!N17-Datos!X17)/Datos!X17," - ")</f>
        <v xml:space="preserve"> - </v>
      </c>
      <c r="H17" s="515" t="str">
        <f>IF(ISNUMBER(((NºAsuntos!G17/NºAsuntos!E17)-Datos!BD17)/Datos!BD17),((NºAsuntos!G17/NºAsuntos!E17)-Datos!BD17)/Datos!BD17," - ")</f>
        <v xml:space="preserve"> - </v>
      </c>
      <c r="I17" s="516" t="str">
        <f>IF(ISNUMBER(((NºAsuntos!I17/NºAsuntos!G17)-Datos!BE17)/Datos!BE17),((NºAsuntos!I17/NºAsuntos!G17)-Datos!BE17)/Datos!BE17," - ")</f>
        <v xml:space="preserve"> - </v>
      </c>
      <c r="J17" s="522" t="str">
        <f>IF(ISNUMBER((('Resol  Asuntos'!D17/NºAsuntos!G17)-Datos!BF17)/Datos!BF17),(('Resol  Asuntos'!D17/NºAsuntos!G17)-Datos!BF17)/Datos!BF17," - ")</f>
        <v xml:space="preserve"> - </v>
      </c>
      <c r="K17" s="523" t="str">
        <f>IF(ISNUMBER((((NºAsuntos!C17+NºAsuntos!E17)/NºAsuntos!G17)-Datos!BG17)/Datos!BG17),(((NºAsuntos!C17+NºAsuntos!E17)/NºAsuntos!G17)-Datos!BG17)/Datos!BG17," - ")</f>
        <v xml:space="preserve"> - </v>
      </c>
    </row>
    <row r="18" spans="1:11">
      <c r="A18" s="451" t="str">
        <f>Datos!A18</f>
        <v>Jdos. Violencia contra la mujer</v>
      </c>
      <c r="B18" s="515">
        <f>IF(ISNUMBER(
   IF(D_I="SI",(Datos!I18-Datos!S18)/Datos!S18,(Datos!I18+Datos!AC18-(Datos!S18+Datos!AK18))/(Datos!S18+Datos!AK18))
     ),IF(D_I="SI",(Datos!I18-Datos!S18)/Datos!S18,(Datos!I18+Datos!AC18-(Datos!S18+Datos!AK18))/(Datos!S18+Datos!AK18))," - ")</f>
        <v>0.29181494661921709</v>
      </c>
      <c r="C18" s="516">
        <f>IF(ISNUMBER(
   IF(D_I="SI",(Datos!J18-Datos!T18)/Datos!T18,(Datos!J18+Datos!AD18-(Datos!T18+Datos!AL18))/(Datos!T18+Datos!AL18))
     ),IF(D_I="SI",(Datos!J18-Datos!T18)/Datos!T18,(Datos!J18+Datos!AD18-(Datos!T18+Datos!AL18))/(Datos!T18+Datos!AL18))," - ")</f>
        <v>2.6492765437130628E-2</v>
      </c>
      <c r="D18" s="516">
        <f>IF(ISNUMBER(
   IF(D_I="SI",(Datos!K18-Datos!U18)/Datos!U18,(Datos!K18+Datos!AE18-(Datos!U18+Datos!AM18))/(Datos!U18+Datos!AM18))
     ),IF(D_I="SI",(Datos!K18-Datos!U18)/Datos!U18,(Datos!K18+Datos!AE18-(Datos!U18+Datos!AM18))/(Datos!U18+Datos!AM18))," - ")</f>
        <v>9.1712242322254944E-2</v>
      </c>
      <c r="E18" s="516">
        <f>IF(ISNUMBER(
   IF(D_I="SI",(Datos!L18-Datos!V18)/Datos!V18,(Datos!L18+Datos!AF18-(Datos!V18+Datos!AN18))/(Datos!V18+Datos!AN18))
     ),IF(D_I="SI",(Datos!L18-Datos!V18)/Datos!V18,(Datos!L18+Datos!AF18-(Datos!V18+Datos!AN18))/(Datos!V18+Datos!AN18))," - ")</f>
        <v>-0.12947658402203857</v>
      </c>
      <c r="F18" s="516">
        <f>IF(ISNUMBER((Datos!M18-Datos!W18)/Datos!W18),(Datos!M18-Datos!W18)/Datos!W18," - ")</f>
        <v>0.50299401197604787</v>
      </c>
      <c r="G18" s="517">
        <f>IF(ISNUMBER((Datos!N18-Datos!X18)/Datos!X18),(Datos!N18-Datos!X18)/Datos!X18," - ")</f>
        <v>-6.0526315789473685E-2</v>
      </c>
      <c r="H18" s="515">
        <f>IF(ISNUMBER(((NºAsuntos!G18/NºAsuntos!E18)-Datos!BD18)/Datos!BD18),((NºAsuntos!G18/NºAsuntos!E18)-Datos!BD18)/Datos!BD18," - ")</f>
        <v>6.3536226538674856E-2</v>
      </c>
      <c r="I18" s="516">
        <f>IF(ISNUMBER(((NºAsuntos!I18/NºAsuntos!G18)-Datos!BE18)/Datos!BE18),((NºAsuntos!I18/NºAsuntos!G18)-Datos!BE18)/Datos!BE18," - ")</f>
        <v>-0.20260726020053399</v>
      </c>
      <c r="J18" s="522">
        <f>IF(ISNUMBER((('Resol  Asuntos'!D18/NºAsuntos!G18)-Datos!BF18)/Datos!BF18),(('Resol  Asuntos'!D18/NºAsuntos!G18)-Datos!BF18)/Datos!BF18," - ")</f>
        <v>0.37673093120118134</v>
      </c>
      <c r="K18" s="523">
        <f>IF(ISNUMBER((((NºAsuntos!C18+NºAsuntos!E18)/NºAsuntos!G18)-Datos!BG18)/Datos!BG18),(((NºAsuntos!C18+NºAsuntos!E18)/NºAsuntos!G18)-Datos!BG18)/Datos!BG18," - ")</f>
        <v>-3.4766212504108822E-2</v>
      </c>
    </row>
    <row r="19" spans="1:11">
      <c r="A19" s="451" t="str">
        <f>Datos!A19</f>
        <v xml:space="preserve">Jdos. de Menores                                </v>
      </c>
      <c r="B19" s="515" t="str">
        <f>IF(ISNUMBER((Datos!I19-Datos!S19)/Datos!S19),(Datos!I19-Datos!S19)/Datos!S19," - ")</f>
        <v xml:space="preserve"> - </v>
      </c>
      <c r="C19" s="516" t="str">
        <f>IF(ISNUMBER((Datos!J19-Datos!T19)/Datos!T19),(Datos!J19-Datos!T19)/Datos!T19," - ")</f>
        <v xml:space="preserve"> - </v>
      </c>
      <c r="D19" s="516" t="str">
        <f>IF(ISNUMBER((Datos!K19-Datos!U19)/Datos!U19),(Datos!K19-Datos!U19)/Datos!U19," - ")</f>
        <v xml:space="preserve"> - </v>
      </c>
      <c r="E19" s="516" t="str">
        <f>IF(ISNUMBER((Datos!L19-Datos!V19)/Datos!V19),(Datos!L19-Datos!V19)/Datos!V19," - ")</f>
        <v xml:space="preserve"> - </v>
      </c>
      <c r="F19" s="516" t="str">
        <f>IF(ISNUMBER((Datos!M19-Datos!W19)/Datos!W19),(Datos!M19-Datos!W19)/Datos!W19," - ")</f>
        <v xml:space="preserve"> - </v>
      </c>
      <c r="G19" s="517" t="str">
        <f>IF(ISNUMBER((Datos!N19-Datos!X19)/Datos!X19),(Datos!N19-Datos!X19)/Datos!X19," - ")</f>
        <v xml:space="preserve"> - </v>
      </c>
      <c r="H19" s="515" t="str">
        <f>IF(ISNUMBER(((NºAsuntos!G19/NºAsuntos!E19)-Datos!BD19)/Datos!BD19),((NºAsuntos!G19/NºAsuntos!E19)-Datos!BD19)/Datos!BD19," - ")</f>
        <v xml:space="preserve"> - </v>
      </c>
      <c r="I19" s="516" t="str">
        <f>IF(ISNUMBER(((NºAsuntos!I19/NºAsuntos!G19)-Datos!BE19)/Datos!BE19),((NºAsuntos!I19/NºAsuntos!G19)-Datos!BE19)/Datos!BE19," - ")</f>
        <v xml:space="preserve"> - </v>
      </c>
      <c r="J19" s="522" t="str">
        <f>IF(ISNUMBER((('Resol  Asuntos'!D19/NºAsuntos!G19)-Datos!BF19)/Datos!BF19),(('Resol  Asuntos'!D19/NºAsuntos!G19)-Datos!BF19)/Datos!BF19," - ")</f>
        <v xml:space="preserve"> - </v>
      </c>
      <c r="K19" s="523" t="str">
        <f>IF(ISNUMBER((((NºAsuntos!C19+NºAsuntos!E19)/NºAsuntos!G19)-Datos!BG19)/Datos!BG19),(((NºAsuntos!C19+NºAsuntos!E19)/NºAsuntos!G19)-Datos!BG19)/Datos!BG19," - ")</f>
        <v xml:space="preserve"> - </v>
      </c>
    </row>
    <row r="20" spans="1:11">
      <c r="A20" s="451" t="str">
        <f>Datos!A20</f>
        <v xml:space="preserve">Jdos. Vigilancia Penitenciaria                  </v>
      </c>
      <c r="B20" s="515" t="str">
        <f>IF(ISNUMBER((Datos!I20-Datos!S20)/Datos!S20),(Datos!I20-Datos!S20)/Datos!S20," - ")</f>
        <v xml:space="preserve"> - </v>
      </c>
      <c r="C20" s="516" t="str">
        <f>IF(ISNUMBER((Datos!J20-Datos!T20)/Datos!T20),(Datos!J20-Datos!T20)/Datos!T20," - ")</f>
        <v xml:space="preserve"> - </v>
      </c>
      <c r="D20" s="516" t="str">
        <f>IF(ISNUMBER((Datos!K20-Datos!U20)/Datos!U20),(Datos!K20-Datos!U20)/Datos!U20," - ")</f>
        <v xml:space="preserve"> - </v>
      </c>
      <c r="E20" s="516" t="str">
        <f>IF(ISNUMBER((Datos!L20-Datos!V20)/Datos!V20),(Datos!L20-Datos!V20)/Datos!V20," - ")</f>
        <v xml:space="preserve"> - </v>
      </c>
      <c r="F20" s="516" t="str">
        <f>IF(ISNUMBER((Datos!M20-Datos!W20)/Datos!W20),(Datos!M20-Datos!W20)/Datos!W20," - ")</f>
        <v xml:space="preserve"> - </v>
      </c>
      <c r="G20" s="517" t="str">
        <f>IF(ISNUMBER((Datos!N20-Datos!X20)/Datos!X20),(Datos!N20-Datos!X20)/Datos!X20," - ")</f>
        <v xml:space="preserve"> - </v>
      </c>
      <c r="H20" s="515" t="str">
        <f>IF(ISNUMBER(((NºAsuntos!G20/NºAsuntos!E20)-Datos!BD20)/Datos!BD20),((NºAsuntos!G20/NºAsuntos!E20)-Datos!BD20)/Datos!BD20," - ")</f>
        <v xml:space="preserve"> - </v>
      </c>
      <c r="I20" s="516" t="str">
        <f>IF(ISNUMBER(((NºAsuntos!I20/NºAsuntos!G20)-Datos!BE20)/Datos!BE20),((NºAsuntos!I20/NºAsuntos!G20)-Datos!BE20)/Datos!BE20," - ")</f>
        <v xml:space="preserve"> - </v>
      </c>
      <c r="J20" s="522" t="str">
        <f>IF(ISNUMBER((('Resol  Asuntos'!D20/NºAsuntos!G20)-Datos!BF20)/Datos!BF20),(('Resol  Asuntos'!D20/NºAsuntos!G20)-Datos!BF20)/Datos!BF20," - ")</f>
        <v xml:space="preserve"> - </v>
      </c>
      <c r="K20" s="523" t="str">
        <f>IF(ISNUMBER((((NºAsuntos!C20+NºAsuntos!E20)/NºAsuntos!G20)-Datos!BG20)/Datos!BG20),(((NºAsuntos!C20+NºAsuntos!E20)/NºAsuntos!G20)-Datos!BG20)/Datos!BG20," - ")</f>
        <v xml:space="preserve"> - </v>
      </c>
    </row>
    <row r="21" spans="1:11">
      <c r="A21" s="451" t="str">
        <f>Datos!A21</f>
        <v xml:space="preserve">Jdos. de lo Penal                               </v>
      </c>
      <c r="B21" s="515" t="str">
        <f>IF(ISNUMBER((Datos!I21-Datos!S21)/Datos!S21),(Datos!I21-Datos!S21)/Datos!S21," - ")</f>
        <v xml:space="preserve"> - </v>
      </c>
      <c r="C21" s="516" t="str">
        <f>IF(ISNUMBER((Datos!J21-Datos!T21)/Datos!T21),(Datos!J21-Datos!T21)/Datos!T21," - ")</f>
        <v xml:space="preserve"> - </v>
      </c>
      <c r="D21" s="516" t="str">
        <f>IF(ISNUMBER((Datos!K21-Datos!U21)/Datos!U21),(Datos!K21-Datos!U21)/Datos!U21," - ")</f>
        <v xml:space="preserve"> - </v>
      </c>
      <c r="E21" s="516" t="str">
        <f>IF(ISNUMBER((Datos!L21-Datos!V21)/Datos!V21),(Datos!L21-Datos!V21)/Datos!V21," - ")</f>
        <v xml:space="preserve"> - </v>
      </c>
      <c r="F21" s="516" t="str">
        <f>IF(ISNUMBER((Datos!M21-Datos!W21)/Datos!W21),(Datos!M21-Datos!W21)/Datos!W21," - ")</f>
        <v xml:space="preserve"> - </v>
      </c>
      <c r="G21" s="517" t="str">
        <f>IF(ISNUMBER((Datos!N21-Datos!X21)/Datos!X21),(Datos!N21-Datos!X21)/Datos!X21," - ")</f>
        <v xml:space="preserve"> - </v>
      </c>
      <c r="H21" s="515" t="str">
        <f>IF(ISNUMBER(((NºAsuntos!G21/NºAsuntos!E21)-Datos!BD21)/Datos!BD21),((NºAsuntos!G21/NºAsuntos!E21)-Datos!BD21)/Datos!BD21," - ")</f>
        <v xml:space="preserve"> - </v>
      </c>
      <c r="I21" s="516" t="str">
        <f>IF(ISNUMBER(((NºAsuntos!I21/NºAsuntos!G21)-Datos!BE21)/Datos!BE21),((NºAsuntos!I21/NºAsuntos!G21)-Datos!BE21)/Datos!BE21," - ")</f>
        <v xml:space="preserve"> - </v>
      </c>
      <c r="J21" s="522" t="str">
        <f>IF(ISNUMBER((('Resol  Asuntos'!D21/NºAsuntos!G21)-Datos!BF21)/Datos!BF21),(('Resol  Asuntos'!D21/NºAsuntos!G21)-Datos!BF21)/Datos!BF21," - ")</f>
        <v xml:space="preserve"> - </v>
      </c>
      <c r="K21" s="523" t="str">
        <f>IF(ISNUMBER((((NºAsuntos!C21+NºAsuntos!E21)/NºAsuntos!G21)-Datos!BG21)/Datos!BG21),(((NºAsuntos!C21+NºAsuntos!E21)/NºAsuntos!G21)-Datos!BG21)/Datos!BG21," - ")</f>
        <v xml:space="preserve"> - </v>
      </c>
    </row>
    <row r="22" spans="1:11" ht="13.5" thickBot="1">
      <c r="A22" s="451" t="str">
        <f>Datos!A22</f>
        <v xml:space="preserve">Jdos. de lo Penal de Ejecutorias                </v>
      </c>
      <c r="B22" s="515" t="str">
        <f>IF(ISNUMBER((Datos!I22-Datos!S22)/Datos!S22),(Datos!I22-Datos!S22)/Datos!S22," - ")</f>
        <v xml:space="preserve"> - </v>
      </c>
      <c r="C22" s="516" t="str">
        <f>IF(ISNUMBER((Datos!J22-Datos!T22)/Datos!T22),(Datos!J22-Datos!T22)/Datos!T22," - ")</f>
        <v xml:space="preserve"> - </v>
      </c>
      <c r="D22" s="516" t="str">
        <f>IF(ISNUMBER((Datos!K22-Datos!U22)/Datos!U22),(Datos!K22-Datos!U22)/Datos!U22," - ")</f>
        <v xml:space="preserve"> - </v>
      </c>
      <c r="E22" s="516" t="str">
        <f>IF(ISNUMBER((Datos!L22-Datos!V22)/Datos!V22),(Datos!L22-Datos!V22)/Datos!V22," - ")</f>
        <v xml:space="preserve"> - </v>
      </c>
      <c r="F22" s="516" t="str">
        <f>IF(ISNUMBER((Datos!M22-Datos!W22)/Datos!W22),(Datos!M22-Datos!W22)/Datos!W22," - ")</f>
        <v xml:space="preserve"> - </v>
      </c>
      <c r="G22" s="517" t="str">
        <f>IF(ISNUMBER((Datos!N22-Datos!X22)/Datos!X22),(Datos!N22-Datos!X22)/Datos!X22," - ")</f>
        <v xml:space="preserve"> - </v>
      </c>
      <c r="H22" s="515" t="str">
        <f>IF(ISNUMBER(((NºAsuntos!G22/NºAsuntos!E22)-Datos!BD22)/Datos!BD22),((NºAsuntos!G22/NºAsuntos!E22)-Datos!BD22)/Datos!BD22," - ")</f>
        <v xml:space="preserve"> - </v>
      </c>
      <c r="I22" s="516" t="str">
        <f>IF(ISNUMBER(((NºAsuntos!I22/NºAsuntos!G22)-Datos!BE22)/Datos!BE22),((NºAsuntos!I22/NºAsuntos!G22)-Datos!BE22)/Datos!BE22," - ")</f>
        <v xml:space="preserve"> - </v>
      </c>
      <c r="J22" s="522" t="str">
        <f>IF(ISNUMBER((('Resol  Asuntos'!D22/NºAsuntos!G22)-Datos!BF22)/Datos!BF22),(('Resol  Asuntos'!D22/NºAsuntos!G22)-Datos!BF22)/Datos!BF22," - ")</f>
        <v xml:space="preserve"> - </v>
      </c>
      <c r="K22" s="523" t="str">
        <f>IF(ISNUMBER((((NºAsuntos!C22+NºAsuntos!E22)/NºAsuntos!G22)-Datos!BG22)/Datos!BG22),(((NºAsuntos!C22+NºAsuntos!E22)/NºAsuntos!G22)-Datos!BG22)/Datos!BG22," - ")</f>
        <v xml:space="preserve"> - </v>
      </c>
    </row>
    <row r="23" spans="1:11" ht="14.25" thickTop="1" thickBot="1">
      <c r="A23" s="1148" t="str">
        <f>Datos!A23</f>
        <v>TOTAL</v>
      </c>
      <c r="B23" s="1154">
        <f>IF(ISNUMBER(
   IF(Criterios!B14="SI",(Datos!I23-Datos!S23)/Datos!S23,(Datos!I23+Datos!AC23-(Datos!S23+Datos!AK23))/(Datos!S23+Datos!AK23))
     ),IF(Criterios!B14="SI",(Datos!I23-Datos!S23)/Datos!S23,(Datos!I23+Datos!AC23-(Datos!S23+Datos!AK23))/(Datos!S23+Datos!AK23))," - ")</f>
        <v>0.18427095292766935</v>
      </c>
      <c r="C23" s="1155">
        <f>IF(ISNUMBER(
   IF(Criterios!B14="SI",(Datos!J23-Datos!T23)/Datos!T23,(Datos!J23+Datos!AD23-(Datos!T23+Datos!AL23))/(Datos!T23+Datos!AL23))
     ),IF(Criterios!B14="SI",(Datos!J23-Datos!T23)/Datos!T23,(Datos!J23+Datos!AD23-(Datos!T23+Datos!AL23))/(Datos!T23+Datos!AL23))," - ")</f>
        <v>0.14987005045100138</v>
      </c>
      <c r="D23" s="1155">
        <f>IF(ISNUMBER(
   IF(Criterios!B14="SI",(Datos!K23-Datos!U23)/Datos!U23,(Datos!K23+Datos!AE23-(Datos!U23+Datos!AM23))/(Datos!U23+Datos!AM23))
     ),IF(Criterios!B14="SI",(Datos!K23-Datos!U23)/Datos!U23,(Datos!K23+Datos!AE23-(Datos!U23+Datos!AM23))/(Datos!U23+Datos!AM23))," - ")</f>
        <v>0.17638636573575145</v>
      </c>
      <c r="E23" s="1155">
        <f>IF(ISNUMBER(
   IF(Criterios!B14="SI",(Datos!L23-Datos!V23)/Datos!V23,(Datos!L23+Datos!AF23-(Datos!V23+Datos!AN23))/(Datos!V23+Datos!AN23))
     ),IF(Criterios!B14="SI",(Datos!L23-Datos!V23)/Datos!V23,(Datos!L23+Datos!AF23-(Datos!V23+Datos!AN23))/(Datos!V23+Datos!AN23))," - ")</f>
        <v>-7.9172725803845531E-2</v>
      </c>
      <c r="F23" s="1156">
        <f>IF(ISNUMBER((Datos!M23-Datos!W23)/Datos!W23),(Datos!M23-Datos!W23)/Datos!W23," - ")</f>
        <v>0.37091162143354212</v>
      </c>
      <c r="G23" s="1157">
        <f>IF(ISNUMBER((Datos!N23-Datos!X23)/Datos!X23),(Datos!N23-Datos!X23)/Datos!X23," - ")</f>
        <v>0.18036515122531829</v>
      </c>
      <c r="H23" s="1157">
        <f>IF(ISNUMBER(((NºAsuntos!G23/NºAsuntos!E23)-Datos!BD23)/Datos!BD23),((NºAsuntos!G23/NºAsuntos!E23)-Datos!BD23)/Datos!BD23," - ")</f>
        <v>2.3060271266609419E-2</v>
      </c>
      <c r="I23" s="1157">
        <f>IF(ISNUMBER(((NºAsuntos!I23/NºAsuntos!G23)-Datos!BE23)/Datos!BE23),((NºAsuntos!I23/NºAsuntos!G23)-Datos!BE23)/Datos!BE23," - ")</f>
        <v>-0.21724077988591931</v>
      </c>
      <c r="J23" s="1157">
        <f>IF(ISNUMBER((('Resol  Asuntos'!D23/NºAsuntos!G23)-Datos!BF23)/Datos!BF23),(('Resol  Asuntos'!D23/NºAsuntos!G23)-Datos!BF23)/Datos!BF23," - ")</f>
        <v>0.16535830519943834</v>
      </c>
      <c r="K23" s="1157">
        <f>IF(ISNUMBER((((NºAsuntos!C23+NºAsuntos!E23)/NºAsuntos!G23)-Datos!BG23)/Datos!BG23),(((NºAsuntos!C23+NºAsuntos!E23)/NºAsuntos!G23)-Datos!BG23)/Datos!BG23," - ")</f>
        <v>-2.0376950452086547E-2</v>
      </c>
    </row>
    <row r="24" spans="1:11" ht="13.5" thickTop="1">
      <c r="A24" s="445" t="str">
        <f>Datos!A24</f>
        <v xml:space="preserve">Jurisdicción Cont.-Admva.:                      </v>
      </c>
      <c r="B24" s="521"/>
      <c r="C24" s="519"/>
      <c r="D24" s="519"/>
      <c r="E24" s="519"/>
      <c r="F24" s="519"/>
      <c r="G24" s="520"/>
      <c r="H24" s="515"/>
      <c r="I24" s="516"/>
      <c r="J24" s="522"/>
      <c r="K24" s="523"/>
    </row>
    <row r="25" spans="1:11" ht="13.5" thickBot="1">
      <c r="A25" s="451" t="str">
        <f>Datos!A25</f>
        <v xml:space="preserve">Jdos Cont.-Admvo.                               </v>
      </c>
      <c r="B25" s="515" t="str">
        <f>IF(ISNUMBER((Datos!I25-Datos!S25)/Datos!S25),(Datos!I25-Datos!S25)/Datos!S25," - ")</f>
        <v xml:space="preserve"> - </v>
      </c>
      <c r="C25" s="516" t="str">
        <f>IF(ISNUMBER((Datos!J25-Datos!T25)/Datos!T25),(Datos!J25-Datos!T25)/Datos!T25," - ")</f>
        <v xml:space="preserve"> - </v>
      </c>
      <c r="D25" s="516" t="str">
        <f>IF(ISNUMBER((Datos!K25-Datos!U25)/Datos!U25),(Datos!K25-Datos!U25)/Datos!U25," - ")</f>
        <v xml:space="preserve"> - </v>
      </c>
      <c r="E25" s="516" t="str">
        <f>IF(ISNUMBER((Datos!L25-Datos!V25)/Datos!V25),(Datos!L25-Datos!V25)/Datos!V25," - ")</f>
        <v xml:space="preserve"> - </v>
      </c>
      <c r="F25" s="516" t="str">
        <f>IF(ISNUMBER((Datos!M25-Datos!W25)/Datos!W25),(Datos!M25-Datos!W25)/Datos!W25," - ")</f>
        <v xml:space="preserve"> - </v>
      </c>
      <c r="G25" s="517" t="str">
        <f>IF(ISNUMBER((Datos!N25-Datos!X25)/Datos!X25),(Datos!N25-Datos!X25)/Datos!X25," - ")</f>
        <v xml:space="preserve"> - </v>
      </c>
      <c r="H25" s="515" t="str">
        <f>IF(ISNUMBER(((NºAsuntos!G25/NºAsuntos!E25)-Datos!BD25)/Datos!BD25),((NºAsuntos!G25/NºAsuntos!E25)-Datos!BD25)/Datos!BD25," - ")</f>
        <v xml:space="preserve"> - </v>
      </c>
      <c r="I25" s="516" t="str">
        <f>IF(ISNUMBER(((NºAsuntos!I25/NºAsuntos!G25)-Datos!BE25)/Datos!BE25),((NºAsuntos!I25/NºAsuntos!G25)-Datos!BE25)/Datos!BE25," - ")</f>
        <v xml:space="preserve"> - </v>
      </c>
      <c r="J25" s="522" t="str">
        <f>IF(ISNUMBER((('Resol  Asuntos'!D25/NºAsuntos!G25)-Datos!BF25)/Datos!BF25),(('Resol  Asuntos'!D25/NºAsuntos!G25)-Datos!BF25)/Datos!BF25," - ")</f>
        <v xml:space="preserve"> - </v>
      </c>
      <c r="K25" s="523" t="str">
        <f>IF(ISNUMBER((((NºAsuntos!C25+NºAsuntos!E25)/NºAsuntos!G25)-Datos!BG25)/Datos!BG25),(((NºAsuntos!C25+NºAsuntos!E25)/NºAsuntos!G25)-Datos!BG25)/Datos!BG25," - ")</f>
        <v xml:space="preserve"> - </v>
      </c>
    </row>
    <row r="26" spans="1:11" ht="14.25" thickTop="1" thickBot="1">
      <c r="A26" s="1148" t="str">
        <f>Datos!A26</f>
        <v>TOTAL</v>
      </c>
      <c r="B26" s="1154" t="str">
        <f>IF(ISNUMBER((Datos!I26-Datos!S26)/Datos!S26),(Datos!I26-Datos!S26)/Datos!S26," - ")</f>
        <v xml:space="preserve"> - </v>
      </c>
      <c r="C26" s="1155" t="str">
        <f>IF(ISNUMBER((Datos!J26-Datos!T26)/Datos!T26),(Datos!J26-Datos!T26)/Datos!T26," - ")</f>
        <v xml:space="preserve"> - </v>
      </c>
      <c r="D26" s="1155" t="str">
        <f>IF(ISNUMBER((Datos!K26-Datos!U26)/Datos!U26),(Datos!K26-Datos!U26)/Datos!U26," - ")</f>
        <v xml:space="preserve"> - </v>
      </c>
      <c r="E26" s="1155" t="str">
        <f>IF(ISNUMBER((Datos!L26-Datos!V26)/Datos!V26),(Datos!L26-Datos!V26)/Datos!V26," - ")</f>
        <v xml:space="preserve"> - </v>
      </c>
      <c r="F26" s="1156" t="str">
        <f>IF(ISNUMBER((Datos!M26-Datos!W26)/Datos!W26),(Datos!M26-Datos!W26)/Datos!W26," - ")</f>
        <v xml:space="preserve"> - </v>
      </c>
      <c r="G26" s="1157" t="str">
        <f>IF(ISNUMBER((Datos!N26-Datos!X26)/Datos!X26),(Datos!N26-Datos!X26)/Datos!X26," - ")</f>
        <v xml:space="preserve"> - </v>
      </c>
      <c r="H26" s="1157" t="str">
        <f>IF(ISNUMBER(((NºAsuntos!G26/NºAsuntos!E26)-Datos!BD26)/Datos!BD26),((NºAsuntos!G26/NºAsuntos!E26)-Datos!BD26)/Datos!BD26," - ")</f>
        <v xml:space="preserve"> - </v>
      </c>
      <c r="I26" s="1157" t="str">
        <f>IF(ISNUMBER(((NºAsuntos!I26/NºAsuntos!G26)-Datos!BE26)/Datos!BE26),((NºAsuntos!I26/NºAsuntos!G26)-Datos!BE26)/Datos!BE26," - ")</f>
        <v xml:space="preserve"> - </v>
      </c>
      <c r="J26" s="1157" t="str">
        <f>IF(ISNUMBER((('Resol  Asuntos'!D26/NºAsuntos!G26)-Datos!BF26)/Datos!BF26),(('Resol  Asuntos'!D26/NºAsuntos!G26)-Datos!BF26)/Datos!BF26," - ")</f>
        <v xml:space="preserve"> - </v>
      </c>
      <c r="K26" s="1157" t="str">
        <f>IF(ISNUMBER((((NºAsuntos!C26+NºAsuntos!E26)/NºAsuntos!G26)-Datos!BG26)/Datos!BG26),(((NºAsuntos!C26+NºAsuntos!E26)/NºAsuntos!G26)-Datos!BG26)/Datos!BG26," - ")</f>
        <v xml:space="preserve"> - </v>
      </c>
    </row>
    <row r="27" spans="1:11" ht="13.5" thickTop="1">
      <c r="A27" s="445" t="str">
        <f>Datos!A27</f>
        <v xml:space="preserve">Jurisdicción Social:                            </v>
      </c>
      <c r="B27" s="518"/>
      <c r="C27" s="519"/>
      <c r="D27" s="519"/>
      <c r="E27" s="519"/>
      <c r="F27" s="519"/>
      <c r="G27" s="520"/>
      <c r="H27" s="515"/>
      <c r="I27" s="516"/>
      <c r="J27" s="522"/>
      <c r="K27" s="523"/>
    </row>
    <row r="28" spans="1:11">
      <c r="A28" s="451" t="str">
        <f>Datos!A28</f>
        <v xml:space="preserve">Jdos. de lo Social                              </v>
      </c>
      <c r="B28" s="515" t="str">
        <f>IF(ISNUMBER((Datos!I28-Datos!S28)/Datos!S28),(Datos!I28-Datos!S28)/Datos!S28," - ")</f>
        <v xml:space="preserve"> - </v>
      </c>
      <c r="C28" s="516" t="str">
        <f>IF(ISNUMBER((Datos!J28-Datos!T28)/Datos!T28),(Datos!J28-Datos!T28)/Datos!T28," - ")</f>
        <v xml:space="preserve"> - </v>
      </c>
      <c r="D28" s="516" t="str">
        <f>IF(ISNUMBER((Datos!K28-Datos!U28)/Datos!U28),(Datos!K28-Datos!U28)/Datos!U28," - ")</f>
        <v xml:space="preserve"> - </v>
      </c>
      <c r="E28" s="516" t="str">
        <f>IF(ISNUMBER((Datos!L28-Datos!V28)/Datos!V28),(Datos!L28-Datos!V28)/Datos!V28," - ")</f>
        <v xml:space="preserve"> - </v>
      </c>
      <c r="F28" s="516" t="str">
        <f>IF(ISNUMBER((Datos!M28-Datos!W28)/Datos!W28),(Datos!M28-Datos!W28)/Datos!W28," - ")</f>
        <v xml:space="preserve"> - </v>
      </c>
      <c r="G28" s="517" t="str">
        <f>IF(ISNUMBER((Datos!N28-Datos!X28)/Datos!X28),(Datos!N28-Datos!X28)/Datos!X28," - ")</f>
        <v xml:space="preserve"> - </v>
      </c>
      <c r="H28" s="515" t="str">
        <f>IF(ISNUMBER(((NºAsuntos!G28/NºAsuntos!E28)-Datos!BD28)/Datos!BD28),((NºAsuntos!G28/NºAsuntos!E28)-Datos!BD28)/Datos!BD28," - ")</f>
        <v xml:space="preserve"> - </v>
      </c>
      <c r="I28" s="516" t="str">
        <f>IF(ISNUMBER(((NºAsuntos!I28/NºAsuntos!G28)-Datos!BE28)/Datos!BE28),((NºAsuntos!I28/NºAsuntos!G28)-Datos!BE28)/Datos!BE28," - ")</f>
        <v xml:space="preserve"> - </v>
      </c>
      <c r="J28" s="522" t="str">
        <f>IF(ISNUMBER((('Resol  Asuntos'!D28/NºAsuntos!G28)-Datos!BF28)/Datos!BF28),(('Resol  Asuntos'!D28/NºAsuntos!G28)-Datos!BF28)/Datos!BF28," - ")</f>
        <v xml:space="preserve"> - </v>
      </c>
      <c r="K28" s="523" t="str">
        <f>IF(ISNUMBER((((NºAsuntos!C28+NºAsuntos!E28)/NºAsuntos!G28)-Datos!BG28)/Datos!BG28),(((NºAsuntos!C28+NºAsuntos!E28)/NºAsuntos!G28)-Datos!BG28)/Datos!BG28," - ")</f>
        <v xml:space="preserve"> - </v>
      </c>
    </row>
    <row r="29" spans="1:11" ht="13.5" thickBot="1">
      <c r="A29" s="451" t="str">
        <f>Datos!A29</f>
        <v>Jdos. De lo Social de Ejecuciones</v>
      </c>
      <c r="B29" s="515" t="str">
        <f>IF(ISNUMBER((Datos!I29-Datos!S29)/Datos!S29),(Datos!I29-Datos!S29)/Datos!S29," - ")</f>
        <v xml:space="preserve"> - </v>
      </c>
      <c r="C29" s="516" t="str">
        <f>IF(ISNUMBER((Datos!J29-Datos!T29)/Datos!T29),(Datos!J29-Datos!T29)/Datos!T29," - ")</f>
        <v xml:space="preserve"> - </v>
      </c>
      <c r="D29" s="516" t="str">
        <f>IF(ISNUMBER((Datos!K29-Datos!U29)/Datos!U29),(Datos!K29-Datos!U29)/Datos!U29," - ")</f>
        <v xml:space="preserve"> - </v>
      </c>
      <c r="E29" s="516" t="str">
        <f>IF(ISNUMBER((Datos!L29-Datos!V29)/Datos!V29),(Datos!L29-Datos!V29)/Datos!V29," - ")</f>
        <v xml:space="preserve"> - </v>
      </c>
      <c r="F29" s="516" t="str">
        <f>IF(ISNUMBER((Datos!M29-Datos!W29)/Datos!W29),(Datos!M29-Datos!W29)/Datos!W29," - ")</f>
        <v xml:space="preserve"> - </v>
      </c>
      <c r="G29" s="517" t="str">
        <f>IF(ISNUMBER((Datos!N29-Datos!X29)/Datos!X29),(Datos!N29-Datos!X29)/Datos!X29," - ")</f>
        <v xml:space="preserve"> - </v>
      </c>
      <c r="H29" s="515" t="str">
        <f>IF(ISNUMBER(((NºAsuntos!G29/NºAsuntos!E29)-Datos!BD29)/Datos!BD29),((NºAsuntos!G29/NºAsuntos!E29)-Datos!BD29)/Datos!BD29," - ")</f>
        <v xml:space="preserve"> - </v>
      </c>
      <c r="I29" s="516" t="str">
        <f>IF(ISNUMBER(((NºAsuntos!I29/NºAsuntos!G29)-Datos!BE29)/Datos!BE29),((NºAsuntos!I29/NºAsuntos!G29)-Datos!BE29)/Datos!BE29," - ")</f>
        <v xml:space="preserve"> - </v>
      </c>
      <c r="J29" s="522" t="str">
        <f>IF(ISNUMBER((('Resol  Asuntos'!D29/NºAsuntos!G29)-Datos!BF29)/Datos!BF29),(('Resol  Asuntos'!D29/NºAsuntos!G29)-Datos!BF29)/Datos!BF29," - ")</f>
        <v xml:space="preserve"> - </v>
      </c>
      <c r="K29" s="523" t="str">
        <f>IF(ISNUMBER((((NºAsuntos!C29+NºAsuntos!E29)/NºAsuntos!G29)-Datos!BG29)/Datos!BG29),(((NºAsuntos!C29+NºAsuntos!E29)/NºAsuntos!G29)-Datos!BG29)/Datos!BG29," - ")</f>
        <v xml:space="preserve"> - </v>
      </c>
    </row>
    <row r="30" spans="1:11" ht="14.25" thickTop="1" thickBot="1">
      <c r="A30" s="1148" t="str">
        <f>Datos!A30</f>
        <v>TOTAL</v>
      </c>
      <c r="B30" s="1154" t="str">
        <f>IF(ISNUMBER((Datos!I30-Datos!S30)/Datos!S30),(Datos!I30-Datos!S30)/Datos!S30," - ")</f>
        <v xml:space="preserve"> - </v>
      </c>
      <c r="C30" s="1155" t="str">
        <f>IF(ISNUMBER((Datos!J30-Datos!T30)/Datos!T30),(Datos!J30-Datos!T30)/Datos!T30," - ")</f>
        <v xml:space="preserve"> - </v>
      </c>
      <c r="D30" s="1155" t="str">
        <f>IF(ISNUMBER((Datos!K30-Datos!U30)/Datos!U30),(Datos!K30-Datos!U30)/Datos!U30," - ")</f>
        <v xml:space="preserve"> - </v>
      </c>
      <c r="E30" s="1155" t="str">
        <f>IF(ISNUMBER((Datos!L30-Datos!V30)/Datos!V30),(Datos!L30-Datos!V30)/Datos!V30," - ")</f>
        <v xml:space="preserve"> - </v>
      </c>
      <c r="F30" s="1156" t="str">
        <f>IF(ISNUMBER((Datos!M30-Datos!W30)/Datos!W30),(Datos!M30-Datos!W30)/Datos!W30," - ")</f>
        <v xml:space="preserve"> - </v>
      </c>
      <c r="G30" s="1157" t="str">
        <f>IF(ISNUMBER((Datos!N30-Datos!X30)/Datos!X30),(Datos!N30-Datos!X30)/Datos!X30," - ")</f>
        <v xml:space="preserve"> - </v>
      </c>
      <c r="H30" s="1157" t="str">
        <f>IF(ISNUMBER(((NºAsuntos!G30/NºAsuntos!E30)-Datos!BD30)/Datos!BD30),((NºAsuntos!G30/NºAsuntos!E30)-Datos!BD30)/Datos!BD30," - ")</f>
        <v xml:space="preserve"> - </v>
      </c>
      <c r="I30" s="1157" t="str">
        <f>IF(ISNUMBER(((NºAsuntos!I30/NºAsuntos!G30)-Datos!BE30)/Datos!BE30),((NºAsuntos!I30/NºAsuntos!G30)-Datos!BE30)/Datos!BE30," - ")</f>
        <v xml:space="preserve"> - </v>
      </c>
      <c r="J30" s="1157" t="str">
        <f>IF(ISNUMBER((('Resol  Asuntos'!D30/NºAsuntos!G30)-Datos!BF30)/Datos!BF30),(('Resol  Asuntos'!D30/NºAsuntos!G30)-Datos!BF30)/Datos!BF30," - ")</f>
        <v xml:space="preserve"> - </v>
      </c>
      <c r="K30" s="1157" t="str">
        <f>IF(ISNUMBER((((NºAsuntos!C30+NºAsuntos!E30)/NºAsuntos!G30)-Datos!BG30)/Datos!BG30),(((NºAsuntos!C30+NºAsuntos!E30)/NºAsuntos!G30)-Datos!BG30)/Datos!BG30," - ")</f>
        <v xml:space="preserve"> - </v>
      </c>
    </row>
    <row r="31" spans="1:11" ht="15.75" customHeight="1" thickTop="1" thickBot="1">
      <c r="A31" s="1086" t="str">
        <f>Datos!A31</f>
        <v>TOTAL JURISDICCIONES</v>
      </c>
      <c r="B31" s="1094">
        <f>IF(ISNUMBER(
   IF(J_V="SI",(Datos!I31-Datos!S31)/Datos!S31,(Datos!I31+Datos!Y31-(Datos!S31+Datos!AG31))/(Datos!S31+Datos!AG31))
     ),IF(J_V="SI",(Datos!I31-Datos!S31)/Datos!S31,(Datos!I31+Datos!Y31-(Datos!S31+Datos!AG31))/(Datos!S31+Datos!AG31))," - ")</f>
        <v>9.0038250457342428E-2</v>
      </c>
      <c r="C31" s="1095">
        <f>IF(ISNUMBER(
   IF(J_V="SI",(Datos!J31-Datos!T31)/Datos!T31,(Datos!J31+Datos!Z31-(Datos!T31+Datos!AH31))/(Datos!T31+Datos!AH31))
     ),IF(J_V="SI",(Datos!J31-Datos!T31)/Datos!T31,(Datos!J31+Datos!Z31-(Datos!T31+Datos!AH31))/(Datos!T31+Datos!AH31))," - ")</f>
        <v>0.15044487689641484</v>
      </c>
      <c r="D31" s="1095">
        <f>IF(ISNUMBER(
   IF(J_V="SI",(Datos!K31-Datos!U31)/Datos!U31,(Datos!K31+Datos!AA31-(Datos!U31+Datos!AI31))/(Datos!U31+Datos!AI31))
     ),IF(J_V="SI",(Datos!K31-Datos!U31)/Datos!U31,(Datos!K31+Datos!AA31-(Datos!U31+Datos!AI31))/(Datos!U31+Datos!AI31))," - ")</f>
        <v>0.20359779145475054</v>
      </c>
      <c r="E31" s="1095">
        <f>IF(ISNUMBER(
   IF(J_V="SI",(Datos!L31-Datos!V31)/Datos!V31,(Datos!L31+Datos!AB31-(Datos!V31+Datos!AJ31))/(Datos!V31+Datos!AJ31))
     ),IF(J_V="SI",(Datos!L31-Datos!V31)/Datos!V31,(Datos!L31+Datos!AB31-(Datos!V31+Datos!AJ31))/(Datos!V31+Datos!AJ31))," - ")</f>
        <v>-1.000854387892103E-2</v>
      </c>
      <c r="F31" s="1096">
        <f>IF(ISNUMBER((Datos!M31-Datos!W31)/Datos!W31),(Datos!M31-Datos!W31)/Datos!W31," - ")</f>
        <v>0.41654767570997936</v>
      </c>
      <c r="G31" s="1097">
        <f>IF(ISNUMBER((Datos!N31-Datos!X31)/Datos!X31),(Datos!N31-Datos!X31)/Datos!X31," - ")</f>
        <v>0.17882989722070181</v>
      </c>
      <c r="H31" s="1098">
        <f>IF(ISNUMBER((Tasas!B31-Datos!BD31)/Datos!BD31),(Tasas!B31-Datos!BD31)/Datos!BD31," - ")</f>
        <v>4.6202052463154696E-2</v>
      </c>
      <c r="I31" s="1099">
        <f>IF(ISNUMBER((Tasas!C31-Datos!BE31)/Datos!BE31),(Tasas!C31-Datos!BE31)/Datos!BE31," - ")</f>
        <v>-0.17747318651647934</v>
      </c>
      <c r="J31" s="1100">
        <f>IF(ISNUMBER((Tasas!D31-Datos!BF31)/Datos!BF31),(Tasas!D31-Datos!BF31)/Datos!BF31," - ")</f>
        <v>-0.35169973413987848</v>
      </c>
      <c r="K31" s="1100">
        <f>IF(ISNUMBER((Tasas!E31-Datos!BG31)/Datos!BG31),(Tasas!E31-Datos!BG31)/Datos!BG31," - ")</f>
        <v>-5.5476960448937622E-2</v>
      </c>
    </row>
    <row r="32" spans="1:11">
      <c r="A32" s="460"/>
      <c r="B32" s="460"/>
      <c r="C32" s="460"/>
      <c r="D32" s="460"/>
      <c r="E32" s="460"/>
    </row>
    <row r="33" spans="1:12" ht="70.5" customHeight="1">
      <c r="A33" s="1585" t="s">
        <v>205</v>
      </c>
      <c r="B33" s="1585"/>
      <c r="C33" s="1585"/>
      <c r="D33" s="1585"/>
      <c r="E33" s="1585"/>
      <c r="F33" s="1585"/>
      <c r="G33" s="1585"/>
      <c r="H33" s="1585"/>
      <c r="I33" s="1585"/>
      <c r="J33" s="1585"/>
      <c r="K33" s="1585"/>
    </row>
    <row r="34" spans="1:12">
      <c r="A34" s="1584"/>
      <c r="B34" s="1584"/>
      <c r="C34" s="462"/>
      <c r="D34" s="462"/>
      <c r="E34" s="462"/>
    </row>
    <row r="35" spans="1:12">
      <c r="A35" s="440" t="str">
        <f>Criterios!A4</f>
        <v>Fecha Informe: 05 abr. 2022</v>
      </c>
    </row>
    <row r="38" spans="1:12" ht="12.75" customHeight="1">
      <c r="A38" s="514"/>
      <c r="B38" s="514"/>
      <c r="C38" s="514"/>
      <c r="D38" s="514"/>
      <c r="E38" s="514"/>
      <c r="F38" s="514"/>
      <c r="G38" s="514"/>
      <c r="H38" s="514"/>
      <c r="I38" s="514"/>
      <c r="J38" s="514"/>
      <c r="K38" s="514"/>
      <c r="L38" s="514"/>
    </row>
    <row r="39" spans="1:12" ht="12.75" customHeight="1">
      <c r="A39" s="514"/>
      <c r="B39" s="514"/>
      <c r="C39" s="514"/>
      <c r="D39" s="514"/>
      <c r="E39" s="514"/>
      <c r="F39" s="514"/>
      <c r="G39" s="514"/>
      <c r="H39" s="514"/>
      <c r="I39" s="514"/>
      <c r="J39" s="514"/>
      <c r="K39" s="514"/>
      <c r="L39" s="514"/>
    </row>
    <row r="40" spans="1:12" ht="12.75" customHeight="1">
      <c r="A40" s="514"/>
      <c r="B40" s="514"/>
      <c r="C40" s="514"/>
      <c r="D40" s="514"/>
      <c r="E40" s="514"/>
      <c r="F40" s="514"/>
      <c r="G40" s="514"/>
      <c r="H40" s="514"/>
      <c r="I40" s="514"/>
      <c r="J40" s="514"/>
      <c r="K40" s="514"/>
      <c r="L40" s="514"/>
    </row>
    <row r="41" spans="1:12" ht="12.75" customHeight="1">
      <c r="A41" s="514"/>
      <c r="B41" s="514"/>
      <c r="C41" s="514"/>
      <c r="D41" s="514"/>
      <c r="E41" s="514"/>
      <c r="F41" s="514"/>
      <c r="G41" s="514"/>
      <c r="H41" s="514"/>
      <c r="I41" s="514"/>
      <c r="J41" s="514"/>
      <c r="K41" s="514"/>
      <c r="L41" s="514"/>
    </row>
  </sheetData>
  <sheetProtection algorithmName="SHA-512" hashValue="+CSiy3G+t+Cd+Fc8sLHdQSk9nAFdREBUgZJ8XOV/HIoaU0Tv8WXcdVcbbjMmbNOTwfD1dPIMWuSsKwwegTZvlw==" saltValue="XcQFRiJDBIfdGLzdyaYUUg==" spinCount="100000" sheet="1" objects="1" scenarios="1"/>
  <mergeCells count="13">
    <mergeCell ref="A34:B34"/>
    <mergeCell ref="A5:A6"/>
    <mergeCell ref="A33:K3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40"/>
  <sheetViews>
    <sheetView zoomScale="85" zoomScaleNormal="85" workbookViewId="0"/>
  </sheetViews>
  <sheetFormatPr baseColWidth="10" defaultColWidth="11.42578125" defaultRowHeight="12.75"/>
  <cols>
    <col min="1" max="1" width="32" style="436" customWidth="1"/>
    <col min="2" max="2" width="12.7109375" style="436" bestFit="1" customWidth="1"/>
    <col min="3" max="4" width="12.28515625" style="436" customWidth="1"/>
    <col min="5" max="5" width="12.7109375" style="436" bestFit="1" customWidth="1"/>
    <col min="6" max="6" width="11.42578125" style="436"/>
    <col min="7" max="7" width="77.85546875" style="436" customWidth="1"/>
    <col min="8" max="16384" width="11.42578125" style="436"/>
  </cols>
  <sheetData>
    <row r="1" spans="1:7" ht="105" customHeight="1"/>
    <row r="2" spans="1:7" ht="42.75" customHeight="1">
      <c r="B2" s="438" t="str">
        <f>Criterios!A9 &amp;"  "&amp;Criterios!B9</f>
        <v>Tribunales de Justicia  ANDALUCIA</v>
      </c>
    </row>
    <row r="3" spans="1:7" ht="19.5">
      <c r="A3" s="492" t="s">
        <v>17</v>
      </c>
      <c r="B3" s="440" t="str">
        <f>Criterios!A10 &amp;"  "&amp;Criterios!B10</f>
        <v>Provincias  MALAGA</v>
      </c>
    </row>
    <row r="4" spans="1:7" ht="11.25" customHeight="1" thickBot="1">
      <c r="B4" s="440" t="str">
        <f>Criterios!A11 &amp;"  "&amp;Criterios!B11</f>
        <v>Resumenes por Partidos Judiciales  MALAGA</v>
      </c>
    </row>
    <row r="5" spans="1:7" ht="12.75" customHeight="1">
      <c r="A5" s="1565" t="str">
        <f>"Año:  " &amp;Criterios!B5 &amp; "    Trimestre   " &amp;Criterios!D5 &amp; " al " &amp;Criterios!D6</f>
        <v>Año:  2021    Trimestre   1 al 4</v>
      </c>
      <c r="B5" s="1559" t="s">
        <v>129</v>
      </c>
      <c r="C5" s="1559" t="s">
        <v>130</v>
      </c>
      <c r="D5" s="1559" t="s">
        <v>131</v>
      </c>
      <c r="E5" s="1559" t="s">
        <v>132</v>
      </c>
      <c r="G5" s="524"/>
    </row>
    <row r="6" spans="1:7" ht="12.75" customHeight="1">
      <c r="A6" s="1566"/>
      <c r="B6" s="1597"/>
      <c r="C6" s="1597"/>
      <c r="D6" s="1597"/>
      <c r="E6" s="1597"/>
      <c r="G6" s="524"/>
    </row>
    <row r="7" spans="1:7" ht="30.75" customHeight="1" thickBot="1">
      <c r="A7" s="493" t="str">
        <f>Datos!A7</f>
        <v>COMPETENCIAS</v>
      </c>
      <c r="B7" s="1598"/>
      <c r="C7" s="1598"/>
      <c r="D7" s="1598"/>
      <c r="E7" s="1598"/>
      <c r="G7" s="524"/>
    </row>
    <row r="8" spans="1:7">
      <c r="A8" s="445" t="str">
        <f>Datos!A8</f>
        <v>Jurisdicción Civil ( 1 ):</v>
      </c>
      <c r="B8" s="494"/>
      <c r="C8" s="495"/>
      <c r="D8" s="496"/>
      <c r="E8" s="497"/>
      <c r="G8" s="524"/>
    </row>
    <row r="9" spans="1:7" ht="14.25" customHeight="1">
      <c r="A9" s="451" t="str">
        <f>Datos!A9</f>
        <v xml:space="preserve">Jdos. 1ª Instancia   </v>
      </c>
      <c r="B9" s="498">
        <f>IF(ISNUMBER(NºAsuntos!G9/NºAsuntos!E9),NºAsuntos!G9/NºAsuntos!E9," - ")</f>
        <v>1.0235824059353471</v>
      </c>
      <c r="C9" s="499">
        <f>IF(ISNUMBER(NºAsuntos!I9/NºAsuntos!G9),NºAsuntos!I9/NºAsuntos!G9," - ")</f>
        <v>0.61944084908102515</v>
      </c>
      <c r="D9" s="500">
        <f>IF(ISNUMBER('Resol  Asuntos'!D9/NºAsuntos!G9),'Resol  Asuntos'!D9/NºAsuntos!G9," - ")</f>
        <v>0.22873414444732074</v>
      </c>
      <c r="E9" s="501">
        <f>IF(ISNUMBER((NºAsuntos!C9+NºAsuntos!E9)/NºAsuntos!G9),(NºAsuntos!C9+NºAsuntos!E9)/NºAsuntos!G9," - ")</f>
        <v>1.5767797048925705</v>
      </c>
      <c r="G9" s="524"/>
    </row>
    <row r="10" spans="1:7">
      <c r="A10" s="451" t="str">
        <f>Datos!A10</f>
        <v>Jdos. Violencia contra la mujer</v>
      </c>
      <c r="B10" s="498">
        <f>IF(ISNUMBER(NºAsuntos!G10/NºAsuntos!E10),NºAsuntos!G10/NºAsuntos!E10," - ")</f>
        <v>1.1295116772823779</v>
      </c>
      <c r="C10" s="499">
        <f>IF(ISNUMBER(NºAsuntos!I10/NºAsuntos!G10),NºAsuntos!I10/NºAsuntos!G10," - ")</f>
        <v>0.38345864661654133</v>
      </c>
      <c r="D10" s="500">
        <f>IF(ISNUMBER('Resol  Asuntos'!D10/NºAsuntos!G10),'Resol  Asuntos'!D10/NºAsuntos!G10," - ")</f>
        <v>0.38909774436090228</v>
      </c>
      <c r="E10" s="501">
        <f>IF(ISNUMBER((NºAsuntos!C10+NºAsuntos!E10)/NºAsuntos!G10),(NºAsuntos!C10+NºAsuntos!E10)/NºAsuntos!G10," - ")</f>
        <v>1.3740601503759398</v>
      </c>
      <c r="G10" s="524"/>
    </row>
    <row r="11" spans="1:7">
      <c r="A11" s="451" t="str">
        <f>Datos!A11</f>
        <v xml:space="preserve">Jdos. Familia                                   </v>
      </c>
      <c r="B11" s="498">
        <f>IF(ISNUMBER(NºAsuntos!G11/NºAsuntos!E11),NºAsuntos!G11/NºAsuntos!E11," - ")</f>
        <v>1.1227323213624583</v>
      </c>
      <c r="C11" s="499">
        <f>IF(ISNUMBER(NºAsuntos!I11/NºAsuntos!G11),NºAsuntos!I11/NºAsuntos!G11," - ")</f>
        <v>0.43066776586974442</v>
      </c>
      <c r="D11" s="500">
        <f>IF(ISNUMBER('Resol  Asuntos'!D11/NºAsuntos!G11),'Resol  Asuntos'!D11/NºAsuntos!G11," - ")</f>
        <v>0.47881286067600987</v>
      </c>
      <c r="E11" s="501">
        <f>IF(ISNUMBER((NºAsuntos!C11+NºAsuntos!E11)/NºAsuntos!G11),(NºAsuntos!C11+NºAsuntos!E11)/NºAsuntos!G11," - ")</f>
        <v>1.4103874690849134</v>
      </c>
      <c r="G11" s="524"/>
    </row>
    <row r="12" spans="1:7">
      <c r="A12" s="451" t="str">
        <f>Datos!A12</f>
        <v xml:space="preserve">Jdos. 1ª Instª. e Instr.                        </v>
      </c>
      <c r="B12" s="498" t="str">
        <f>IF(ISNUMBER(NºAsuntos!G12/NºAsuntos!E12),NºAsuntos!G12/NºAsuntos!E12," - ")</f>
        <v xml:space="preserve"> - </v>
      </c>
      <c r="C12" s="499" t="str">
        <f>IF(ISNUMBER(NºAsuntos!I12/NºAsuntos!G12),NºAsuntos!I12/NºAsuntos!G12," - ")</f>
        <v xml:space="preserve"> - </v>
      </c>
      <c r="D12" s="500" t="str">
        <f>IF(ISNUMBER('Resol  Asuntos'!D12/NºAsuntos!G12),'Resol  Asuntos'!D12/NºAsuntos!G12," - ")</f>
        <v xml:space="preserve"> - </v>
      </c>
      <c r="E12" s="501" t="str">
        <f>IF(ISNUMBER((NºAsuntos!C12+NºAsuntos!E12)/NºAsuntos!G12),(NºAsuntos!C12+NºAsuntos!E12)/NºAsuntos!G12," - ")</f>
        <v xml:space="preserve"> - </v>
      </c>
      <c r="G12" s="524"/>
    </row>
    <row r="13" spans="1:7" ht="14.25" customHeight="1" thickBot="1">
      <c r="A13" s="451" t="str">
        <f>Datos!A13</f>
        <v xml:space="preserve">Jdos. de Menores    </v>
      </c>
      <c r="B13" s="498" t="str">
        <f>IF(ISNUMBER(NºAsuntos!G13/NºAsuntos!E13),NºAsuntos!G13/NºAsuntos!E13," - ")</f>
        <v xml:space="preserve"> - </v>
      </c>
      <c r="C13" s="499" t="str">
        <f>IF(ISNUMBER(NºAsuntos!I13/NºAsuntos!G13),NºAsuntos!I13/NºAsuntos!G13," - ")</f>
        <v xml:space="preserve"> - </v>
      </c>
      <c r="D13" s="500" t="str">
        <f>IF(ISNUMBER('Resol  Asuntos'!D13/NºAsuntos!G13),'Resol  Asuntos'!D13/NºAsuntos!G13," - ")</f>
        <v xml:space="preserve"> - </v>
      </c>
      <c r="E13" s="501" t="str">
        <f>IF(ISNUMBER((NºAsuntos!C13+NºAsuntos!E13)/NºAsuntos!G13),(NºAsuntos!C13+NºAsuntos!E13)/NºAsuntos!G13," - ")</f>
        <v xml:space="preserve"> - </v>
      </c>
      <c r="G13" s="524"/>
    </row>
    <row r="14" spans="1:7" ht="14.25" thickTop="1" thickBot="1">
      <c r="A14" s="1148" t="str">
        <f>Datos!A14</f>
        <v>TOTAL</v>
      </c>
      <c r="B14" s="1158">
        <f>IF(ISNUMBER(NºAsuntos!G14/NºAsuntos!E14),NºAsuntos!G14/NºAsuntos!E14," - ")</f>
        <v>1.0370073143328824</v>
      </c>
      <c r="C14" s="1159">
        <f>IF(ISNUMBER(NºAsuntos!I14/NºAsuntos!G14),NºAsuntos!I14/NºAsuntos!G14," - ")</f>
        <v>0.59135029959979657</v>
      </c>
      <c r="D14" s="1160">
        <f>IF(ISNUMBER('Resol  Asuntos'!D14/NºAsuntos!G14),'Resol  Asuntos'!D14/NºAsuntos!G14," - ")</f>
        <v>0.26415636677206095</v>
      </c>
      <c r="E14" s="1161">
        <f>IF(ISNUMBER((NºAsuntos!C14+NºAsuntos!E14)/NºAsuntos!G14),(NºAsuntos!C14+NºAsuntos!E14)/NºAsuntos!G14," - ")</f>
        <v>1.5520817210958056</v>
      </c>
      <c r="G14" s="524"/>
    </row>
    <row r="15" spans="1:7" ht="13.5" thickTop="1">
      <c r="A15" s="445" t="str">
        <f>Datos!A15</f>
        <v xml:space="preserve">Jurisdicción Penal ( 2 ):                      </v>
      </c>
      <c r="B15" s="502"/>
      <c r="C15" s="503"/>
      <c r="D15" s="456"/>
      <c r="E15" s="504"/>
      <c r="G15" s="524"/>
    </row>
    <row r="16" spans="1:7">
      <c r="A16" s="451" t="str">
        <f>Datos!A16</f>
        <v xml:space="preserve">Jdos. Instrucción                               </v>
      </c>
      <c r="B16" s="498">
        <f>IF(ISNUMBER(NºAsuntos!G16/NºAsuntos!E16),NºAsuntos!G16/NºAsuntos!E16," - ")</f>
        <v>1.014891130870953</v>
      </c>
      <c r="C16" s="499">
        <f>IF(ISNUMBER(NºAsuntos!I16/NºAsuntos!G16),NºAsuntos!I16/NºAsuntos!G16," - ")</f>
        <v>7.1144746633717587E-2</v>
      </c>
      <c r="D16" s="500">
        <f>IF(ISNUMBER('Resol  Asuntos'!D16/NºAsuntos!G16),'Resol  Asuntos'!D16/NºAsuntos!G16," - ")</f>
        <v>7.9456901756504397E-2</v>
      </c>
      <c r="E16" s="501">
        <f>IF(ISNUMBER((NºAsuntos!C16+NºAsuntos!E16)/NºAsuntos!G16),(NºAsuntos!C16+NºAsuntos!E16)/NºAsuntos!G16," - ")</f>
        <v>1.0620322657643111</v>
      </c>
      <c r="G16" s="524"/>
    </row>
    <row r="17" spans="1:7">
      <c r="A17" s="451" t="str">
        <f>Datos!A17</f>
        <v xml:space="preserve">Jdos. 1ª Instª. e Instr.                        </v>
      </c>
      <c r="B17" s="498" t="str">
        <f>IF(ISNUMBER(NºAsuntos!G17/NºAsuntos!E17),NºAsuntos!G17/NºAsuntos!E17," - ")</f>
        <v xml:space="preserve"> - </v>
      </c>
      <c r="C17" s="499" t="str">
        <f>IF(ISNUMBER(NºAsuntos!I17/NºAsuntos!G17),NºAsuntos!I17/NºAsuntos!G17," - ")</f>
        <v xml:space="preserve"> - </v>
      </c>
      <c r="D17" s="500" t="str">
        <f>IF(ISNUMBER('Resol  Asuntos'!D17/NºAsuntos!G17),'Resol  Asuntos'!D17/NºAsuntos!G17," - ")</f>
        <v xml:space="preserve"> - </v>
      </c>
      <c r="E17" s="501" t="str">
        <f>IF(ISNUMBER((NºAsuntos!C17+NºAsuntos!E17)/NºAsuntos!G17),(NºAsuntos!C17+NºAsuntos!E17)/NºAsuntos!G17," - ")</f>
        <v xml:space="preserve"> - </v>
      </c>
      <c r="G17" s="524"/>
    </row>
    <row r="18" spans="1:7">
      <c r="A18" s="451" t="str">
        <f>Datos!A18</f>
        <v>Jdos. Violencia contra la mujer</v>
      </c>
      <c r="B18" s="498">
        <f>IF(ISNUMBER(NºAsuntos!G18/NºAsuntos!E18),NºAsuntos!G18/NºAsuntos!E18," - ")</f>
        <v>1.0303752233472305</v>
      </c>
      <c r="C18" s="499">
        <f>IF(ISNUMBER(NºAsuntos!I18/NºAsuntos!G18),NºAsuntos!I18/NºAsuntos!G18," - ")</f>
        <v>0.12177263969171484</v>
      </c>
      <c r="D18" s="500">
        <f>IF(ISNUMBER('Resol  Asuntos'!D18/NºAsuntos!G18),'Resol  Asuntos'!D18/NºAsuntos!G18," - ")</f>
        <v>4.8362235067437379E-2</v>
      </c>
      <c r="E18" s="501">
        <f>IF(ISNUMBER((NºAsuntos!C18+NºAsuntos!E18)/NºAsuntos!G18),(NºAsuntos!C18+NºAsuntos!E18)/NºAsuntos!G18," - ")</f>
        <v>1.1104046242774566</v>
      </c>
      <c r="G18" s="524"/>
    </row>
    <row r="19" spans="1:7">
      <c r="A19" s="451" t="str">
        <f>Datos!A19</f>
        <v xml:space="preserve">Jdos. de Menores                                </v>
      </c>
      <c r="B19" s="498" t="str">
        <f>IF(ISNUMBER(NºAsuntos!G19/NºAsuntos!E19),NºAsuntos!G19/NºAsuntos!E19," - ")</f>
        <v xml:space="preserve"> - </v>
      </c>
      <c r="C19" s="499" t="str">
        <f>IF(ISNUMBER(NºAsuntos!I19/NºAsuntos!G19),NºAsuntos!I19/NºAsuntos!G19," - ")</f>
        <v xml:space="preserve"> - </v>
      </c>
      <c r="D19" s="500" t="str">
        <f>IF(ISNUMBER('Resol  Asuntos'!D19/NºAsuntos!G19),'Resol  Asuntos'!D19/NºAsuntos!G19," - ")</f>
        <v xml:space="preserve"> - </v>
      </c>
      <c r="E19" s="501" t="str">
        <f>IF(ISNUMBER((NºAsuntos!C19+NºAsuntos!E19)/NºAsuntos!G19),(NºAsuntos!C19+NºAsuntos!E19)/NºAsuntos!G19," - ")</f>
        <v xml:space="preserve"> - </v>
      </c>
      <c r="G19" s="524"/>
    </row>
    <row r="20" spans="1:7">
      <c r="A20" s="451" t="str">
        <f>Datos!A20</f>
        <v xml:space="preserve">Jdos. Vigilancia Penitenciaria                  </v>
      </c>
      <c r="B20" s="498" t="str">
        <f>IF(ISNUMBER(NºAsuntos!G20/NºAsuntos!E20),NºAsuntos!G20/NºAsuntos!E20," - ")</f>
        <v xml:space="preserve"> - </v>
      </c>
      <c r="C20" s="499" t="str">
        <f>IF(ISNUMBER(NºAsuntos!I20/NºAsuntos!G20),NºAsuntos!I20/NºAsuntos!G20," - ")</f>
        <v xml:space="preserve"> - </v>
      </c>
      <c r="D20" s="500" t="str">
        <f>IF(ISNUMBER('Resol  Asuntos'!D20/NºAsuntos!G20),'Resol  Asuntos'!D20/NºAsuntos!G20," - ")</f>
        <v xml:space="preserve"> - </v>
      </c>
      <c r="E20" s="501" t="str">
        <f>IF(ISNUMBER((NºAsuntos!C20+NºAsuntos!E20)/NºAsuntos!G20),(NºAsuntos!C20+NºAsuntos!E20)/NºAsuntos!G20," - ")</f>
        <v xml:space="preserve"> - </v>
      </c>
      <c r="G20" s="524"/>
    </row>
    <row r="21" spans="1:7">
      <c r="A21" s="451" t="str">
        <f>Datos!A21</f>
        <v xml:space="preserve">Jdos. de lo Penal                               </v>
      </c>
      <c r="B21" s="498" t="str">
        <f>IF(ISNUMBER(NºAsuntos!G21/NºAsuntos!E21),NºAsuntos!G21/NºAsuntos!E21," - ")</f>
        <v xml:space="preserve"> - </v>
      </c>
      <c r="C21" s="499" t="str">
        <f>IF(ISNUMBER(NºAsuntos!I21/NºAsuntos!G21),NºAsuntos!I21/NºAsuntos!G21," - ")</f>
        <v xml:space="preserve"> - </v>
      </c>
      <c r="D21" s="500" t="str">
        <f>IF(ISNUMBER('Resol  Asuntos'!D21/NºAsuntos!G21),'Resol  Asuntos'!D21/NºAsuntos!G21," - ")</f>
        <v xml:space="preserve"> - </v>
      </c>
      <c r="E21" s="501" t="str">
        <f>IF(ISNUMBER((NºAsuntos!C21+NºAsuntos!E21)/NºAsuntos!G21),(NºAsuntos!C21+NºAsuntos!E21)/NºAsuntos!G21," - ")</f>
        <v xml:space="preserve"> - </v>
      </c>
      <c r="G21" s="524"/>
    </row>
    <row r="22" spans="1:7" ht="13.5" thickBot="1">
      <c r="A22" s="451" t="str">
        <f>Datos!A22</f>
        <v xml:space="preserve">Jdos. de lo Penal de Ejecutorias                </v>
      </c>
      <c r="B22" s="498" t="str">
        <f>IF(ISNUMBER(NºAsuntos!G22/NºAsuntos!E22),NºAsuntos!G22/NºAsuntos!E22," - ")</f>
        <v xml:space="preserve"> - </v>
      </c>
      <c r="C22" s="499" t="str">
        <f>IF(ISNUMBER(NºAsuntos!I22/NºAsuntos!G22),NºAsuntos!I22/NºAsuntos!G22," - ")</f>
        <v xml:space="preserve"> - </v>
      </c>
      <c r="D22" s="500" t="str">
        <f>IF(ISNUMBER('Resol  Asuntos'!D22/NºAsuntos!G22),'Resol  Asuntos'!D22/NºAsuntos!G22," - ")</f>
        <v xml:space="preserve"> - </v>
      </c>
      <c r="E22" s="501" t="str">
        <f>IF(ISNUMBER((NºAsuntos!C22+NºAsuntos!E22)/NºAsuntos!G22),(NºAsuntos!C22+NºAsuntos!E22)/NºAsuntos!G22," - ")</f>
        <v xml:space="preserve"> - </v>
      </c>
      <c r="G22" s="524"/>
    </row>
    <row r="23" spans="1:7" ht="14.25" thickTop="1" thickBot="1">
      <c r="A23" s="1148" t="str">
        <f>Datos!A23</f>
        <v>TOTAL</v>
      </c>
      <c r="B23" s="1158">
        <f>IF(ISNUMBER(NºAsuntos!G23/NºAsuntos!E23),NºAsuntos!G23/NºAsuntos!E23," - ")</f>
        <v>1.0159280975363301</v>
      </c>
      <c r="C23" s="1159">
        <f>IF(ISNUMBER(NºAsuntos!I23/NºAsuntos!G23),NºAsuntos!I23/NºAsuntos!G23," - ")</f>
        <v>7.4583502375312458E-2</v>
      </c>
      <c r="D23" s="1162">
        <f>IF(ISNUMBER('Resol  Asuntos'!D23/NºAsuntos!G23),'Resol  Asuntos'!D23/NºAsuntos!G23," - ")</f>
        <v>7.7344884898771116E-2</v>
      </c>
      <c r="E23" s="1161">
        <f>IF(ISNUMBER((NºAsuntos!C23+NºAsuntos!E23)/NºAsuntos!G23),(NºAsuntos!C23+NºAsuntos!E23)/NºAsuntos!G23," - ")</f>
        <v>1.065317820732617</v>
      </c>
      <c r="G23" s="524"/>
    </row>
    <row r="24" spans="1:7" ht="13.5" thickTop="1">
      <c r="A24" s="445" t="str">
        <f>Datos!A24</f>
        <v xml:space="preserve">Jurisdicción Cont.-Admva.:                      </v>
      </c>
      <c r="B24" s="505"/>
      <c r="C24" s="506"/>
      <c r="D24" s="507"/>
      <c r="E24" s="508"/>
      <c r="G24" s="524"/>
    </row>
    <row r="25" spans="1:7" ht="13.5" thickBot="1">
      <c r="A25" s="451" t="str">
        <f>Datos!A25</f>
        <v xml:space="preserve">Jdos Cont.-Admvo.                               </v>
      </c>
      <c r="B25" s="498" t="str">
        <f>IF(ISNUMBER(NºAsuntos!G25/NºAsuntos!E25),NºAsuntos!G25/NºAsuntos!E25," - ")</f>
        <v xml:space="preserve"> - </v>
      </c>
      <c r="C25" s="499" t="str">
        <f>IF(ISNUMBER(NºAsuntos!I25/NºAsuntos!G25),NºAsuntos!I25/NºAsuntos!G25," - ")</f>
        <v xml:space="preserve"> - </v>
      </c>
      <c r="D25" s="500" t="str">
        <f>IF(ISNUMBER('Resol  Asuntos'!D25/NºAsuntos!G25),'Resol  Asuntos'!D25/NºAsuntos!G25," - ")</f>
        <v xml:space="preserve"> - </v>
      </c>
      <c r="E25" s="501" t="str">
        <f>IF(ISNUMBER((NºAsuntos!C25+NºAsuntos!E25)/NºAsuntos!G25),(NºAsuntos!C25+NºAsuntos!E25)/NºAsuntos!G25," - ")</f>
        <v xml:space="preserve"> - </v>
      </c>
      <c r="G25" s="524"/>
    </row>
    <row r="26" spans="1:7" ht="14.25" thickTop="1" thickBot="1">
      <c r="A26" s="1148" t="str">
        <f>Datos!A26</f>
        <v>TOTAL</v>
      </c>
      <c r="B26" s="1158" t="str">
        <f>IF(ISNUMBER(NºAsuntos!G26/NºAsuntos!E26),NºAsuntos!G26/NºAsuntos!E26," - ")</f>
        <v xml:space="preserve"> - </v>
      </c>
      <c r="C26" s="1159" t="str">
        <f>IF(ISNUMBER(NºAsuntos!I26/NºAsuntos!G26),NºAsuntos!I26/NºAsuntos!G26," - ")</f>
        <v xml:space="preserve"> - </v>
      </c>
      <c r="D26" s="1162" t="str">
        <f>IF(ISNUMBER('Resol  Asuntos'!D26/NºAsuntos!G26),'Resol  Asuntos'!D26/NºAsuntos!G26," - ")</f>
        <v xml:space="preserve"> - </v>
      </c>
      <c r="E26" s="1161" t="str">
        <f>IF(ISNUMBER((NºAsuntos!C26+NºAsuntos!E26)/NºAsuntos!G26),(NºAsuntos!C26+NºAsuntos!E26)/NºAsuntos!G26," - ")</f>
        <v xml:space="preserve"> - </v>
      </c>
      <c r="G26" s="524"/>
    </row>
    <row r="27" spans="1:7" ht="13.5" thickTop="1">
      <c r="A27" s="445" t="str">
        <f>Datos!A27</f>
        <v xml:space="preserve">Jurisdicción Social:                            </v>
      </c>
      <c r="B27" s="502"/>
      <c r="C27" s="503"/>
      <c r="D27" s="456"/>
      <c r="E27" s="504"/>
      <c r="G27" s="524"/>
    </row>
    <row r="28" spans="1:7">
      <c r="A28" s="451" t="str">
        <f>Datos!A28</f>
        <v xml:space="preserve">Jdos. de lo Social                              </v>
      </c>
      <c r="B28" s="498" t="str">
        <f>IF(ISNUMBER(NºAsuntos!G28/NºAsuntos!E28),NºAsuntos!G28/NºAsuntos!E28," - ")</f>
        <v xml:space="preserve"> - </v>
      </c>
      <c r="C28" s="499" t="str">
        <f>IF(ISNUMBER(NºAsuntos!I28/NºAsuntos!G28),NºAsuntos!I28/NºAsuntos!G28," - ")</f>
        <v xml:space="preserve"> - </v>
      </c>
      <c r="D28" s="500" t="str">
        <f>IF(ISNUMBER('Resol  Asuntos'!D28/NºAsuntos!G28),'Resol  Asuntos'!D28/NºAsuntos!G28," - ")</f>
        <v xml:space="preserve"> - </v>
      </c>
      <c r="E28" s="501" t="str">
        <f>IF(ISNUMBER((NºAsuntos!C28+NºAsuntos!E28)/NºAsuntos!G28),(NºAsuntos!C28+NºAsuntos!E28)/NºAsuntos!G28," - ")</f>
        <v xml:space="preserve"> - </v>
      </c>
      <c r="G28" s="524"/>
    </row>
    <row r="29" spans="1:7" ht="13.5" thickBot="1">
      <c r="A29" s="451" t="str">
        <f>Datos!A29</f>
        <v>Jdos. De lo Social de Ejecuciones</v>
      </c>
      <c r="B29" s="498" t="str">
        <f>IF(ISNUMBER(NºAsuntos!G29/NºAsuntos!E29),NºAsuntos!G29/NºAsuntos!E29," - ")</f>
        <v xml:space="preserve"> - </v>
      </c>
      <c r="C29" s="499" t="str">
        <f>IF(ISNUMBER(NºAsuntos!I29/NºAsuntos!G29),NºAsuntos!I29/NºAsuntos!G29," - ")</f>
        <v xml:space="preserve"> - </v>
      </c>
      <c r="D29" s="500" t="str">
        <f>IF(ISNUMBER('Resol  Asuntos'!D29/NºAsuntos!G29),'Resol  Asuntos'!D29/NºAsuntos!G29," - ")</f>
        <v xml:space="preserve"> - </v>
      </c>
      <c r="E29" s="501" t="str">
        <f>IF(ISNUMBER((NºAsuntos!C29+NºAsuntos!E29)/NºAsuntos!G29),(NºAsuntos!C29+NºAsuntos!E29)/NºAsuntos!G29," - ")</f>
        <v xml:space="preserve"> - </v>
      </c>
      <c r="G29" s="524"/>
    </row>
    <row r="30" spans="1:7" ht="14.25" thickTop="1" thickBot="1">
      <c r="A30" s="1148" t="str">
        <f>Datos!A30</f>
        <v>TOTAL</v>
      </c>
      <c r="B30" s="1158" t="str">
        <f>IF(ISNUMBER(NºAsuntos!G30/NºAsuntos!E30),NºAsuntos!G30/NºAsuntos!E30," - ")</f>
        <v xml:space="preserve"> - </v>
      </c>
      <c r="C30" s="1159" t="str">
        <f>IF(ISNUMBER(NºAsuntos!I30/NºAsuntos!G30),NºAsuntos!I30/NºAsuntos!G30," - ")</f>
        <v xml:space="preserve"> - </v>
      </c>
      <c r="D30" s="1162" t="str">
        <f>IF(ISNUMBER('Resol  Asuntos'!D30/NºAsuntos!G30),'Resol  Asuntos'!D30/NºAsuntos!G30," - ")</f>
        <v xml:space="preserve"> - </v>
      </c>
      <c r="E30" s="1161" t="str">
        <f>IF(ISNUMBER((NºAsuntos!C30+NºAsuntos!E30)/NºAsuntos!G30),(NºAsuntos!C30+NºAsuntos!E30)/NºAsuntos!G30," - ")</f>
        <v xml:space="preserve"> - </v>
      </c>
      <c r="G30" s="524"/>
    </row>
    <row r="31" spans="1:7" ht="15.75" customHeight="1" thickTop="1" thickBot="1">
      <c r="A31" s="1086" t="str">
        <f>Datos!A31</f>
        <v>TOTAL JURISDICCIONES</v>
      </c>
      <c r="B31" s="1101">
        <f>IF(ISNUMBER(NºAsuntos!G31/NºAsuntos!E31),NºAsuntos!G31/NºAsuntos!E31," - ")</f>
        <v>1.0236648544931244</v>
      </c>
      <c r="C31" s="1102">
        <f>IF(ISNUMBER(NºAsuntos!I31/NºAsuntos!G31),NºAsuntos!I31/NºAsuntos!G31," - ")</f>
        <v>0.26672585869547344</v>
      </c>
      <c r="D31" s="1103">
        <f>IF(ISNUMBER('Resol  Asuntos'!D31/NºAsuntos!G31),'Resol  Asuntos'!D31/NºAsuntos!G31," - ")</f>
        <v>0.14680445255594468</v>
      </c>
      <c r="E31" s="1104">
        <f>IF(ISNUMBER((NºAsuntos!C31+NºAsuntos!E31)/NºAsuntos!G31),(NºAsuntos!C31+NºAsuntos!E31)/NºAsuntos!G31," - ")</f>
        <v>1.2463046087571319</v>
      </c>
      <c r="G31" s="524"/>
    </row>
    <row r="32" spans="1:7">
      <c r="A32" s="460"/>
      <c r="B32" s="460"/>
      <c r="C32" s="460"/>
      <c r="G32" s="524"/>
    </row>
    <row r="33" spans="1:7">
      <c r="A33" s="462"/>
      <c r="B33" s="462"/>
      <c r="C33" s="462"/>
      <c r="G33" s="524"/>
    </row>
    <row r="34" spans="1:7">
      <c r="A34" s="1552"/>
      <c r="B34" s="1552"/>
      <c r="C34" s="1552"/>
      <c r="G34" s="524"/>
    </row>
    <row r="35" spans="1:7">
      <c r="A35" s="440" t="str">
        <f>Criterios!A4</f>
        <v>Fecha Informe: 05 abr. 2022</v>
      </c>
    </row>
    <row r="37" spans="1:7" ht="12" customHeight="1">
      <c r="A37" s="529"/>
      <c r="B37" s="529"/>
      <c r="C37" s="529"/>
      <c r="D37" s="529"/>
      <c r="E37" s="529"/>
    </row>
    <row r="38" spans="1:7" ht="13.5" customHeight="1">
      <c r="A38" s="529"/>
      <c r="B38" s="530"/>
      <c r="C38" s="530"/>
      <c r="D38" s="530"/>
      <c r="E38" s="530"/>
    </row>
    <row r="39" spans="1:7" ht="13.5" customHeight="1">
      <c r="A39" s="529"/>
      <c r="B39" s="530"/>
      <c r="C39" s="530"/>
      <c r="D39" s="530"/>
      <c r="E39" s="530"/>
    </row>
    <row r="40" spans="1:7" ht="13.5" customHeight="1">
      <c r="A40" s="529"/>
      <c r="B40" s="530"/>
      <c r="C40" s="530"/>
      <c r="D40" s="530"/>
      <c r="E40" s="530"/>
    </row>
  </sheetData>
  <sheetProtection algorithmName="SHA-512" hashValue="mRHElWIuruL5J3i1G071cDIZ1hMSgv03NKejM7j66sPfv9TdmBK6iiM4YbvjD8t5ESBnaXnWfUTYocRKDnTUxQ==" saltValue="u8Ec9f5NQvAEVp1lrPoA1g==" spinCount="100000" sheet="1" objects="1" scenarios="1"/>
  <mergeCells count="6">
    <mergeCell ref="D5:D7"/>
    <mergeCell ref="E5:E7"/>
    <mergeCell ref="A34:C3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L44"/>
  <sheetViews>
    <sheetView topLeftCell="C1" zoomScale="85" zoomScaleNormal="85" workbookViewId="0">
      <selection activeCell="C1" sqref="C1"/>
    </sheetView>
  </sheetViews>
  <sheetFormatPr baseColWidth="10" defaultRowHeight="12.75"/>
  <cols>
    <col min="1" max="2" width="9.42578125" style="18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8" width="13.42578125" customWidth="1"/>
    <col min="49" max="49" width="14.85546875" customWidth="1"/>
    <col min="50" max="50" width="13.7109375" hidden="1" customWidth="1"/>
    <col min="51" max="51" width="13" style="537" hidden="1" customWidth="1"/>
    <col min="55" max="56" width="11.42578125" customWidth="1"/>
    <col min="57" max="64" width="11.42578125" hidden="1" customWidth="1"/>
    <col min="65" max="65" width="11.42578125" customWidth="1"/>
  </cols>
  <sheetData>
    <row r="2" spans="1:64" ht="16.5" customHeight="1">
      <c r="C2" s="289"/>
      <c r="D2" s="289"/>
      <c r="E2" s="286"/>
      <c r="F2" s="368" t="str">
        <f>Criterios!A9 &amp;"  "&amp;Criterios!B9</f>
        <v>Tribunales de Justicia  ANDALUCIA</v>
      </c>
      <c r="G2" s="369"/>
      <c r="H2" s="368"/>
      <c r="I2" s="368"/>
      <c r="J2" s="368"/>
      <c r="K2" s="368"/>
      <c r="L2" s="368" t="str">
        <f>Criterios!A10 &amp;"  "&amp;Criterios!B10</f>
        <v>Provincias  MALAGA</v>
      </c>
      <c r="N2" s="368" t="str">
        <f>Criterios!A11 &amp;"  "&amp;Criterios!B11</f>
        <v>Resumenes por Partidos Judiciales  MALAGA</v>
      </c>
      <c r="O2" s="368"/>
      <c r="P2" s="368"/>
      <c r="Q2" s="286"/>
      <c r="R2" s="286"/>
    </row>
    <row r="3" spans="1:64" ht="16.5" customHeight="1">
      <c r="C3" s="291"/>
      <c r="D3" s="291"/>
      <c r="G3" s="287"/>
      <c r="H3" s="286"/>
    </row>
    <row r="4" spans="1:64" ht="16.5" customHeight="1" thickBot="1">
      <c r="C4" s="102"/>
      <c r="D4" s="102"/>
      <c r="E4" s="367"/>
      <c r="F4" s="367"/>
      <c r="G4" s="367"/>
      <c r="H4" s="367"/>
      <c r="I4" s="367"/>
      <c r="J4" s="367"/>
      <c r="K4" s="367"/>
      <c r="L4" s="367"/>
      <c r="M4" s="367"/>
      <c r="N4" s="286"/>
      <c r="O4" s="286"/>
      <c r="P4" s="286"/>
      <c r="Q4" s="286"/>
      <c r="R4" s="286"/>
    </row>
    <row r="5" spans="1:64" ht="15.75" customHeight="1">
      <c r="A5" s="1642" t="s">
        <v>469</v>
      </c>
      <c r="B5" s="297"/>
      <c r="C5" s="1645" t="str">
        <f>"Año:  " &amp;Criterios!B$5 &amp; "          Trimestre   " &amp;Criterios!D$5 &amp; " al " &amp;Criterios!D$6</f>
        <v>Año:  2021          Trimestre   1 al 4</v>
      </c>
      <c r="D5" s="1602" t="s">
        <v>495</v>
      </c>
      <c r="E5" s="1602" t="s">
        <v>417</v>
      </c>
      <c r="F5" s="1647" t="s">
        <v>531</v>
      </c>
      <c r="G5" s="1650" t="s">
        <v>176</v>
      </c>
      <c r="H5" s="1609" t="s">
        <v>224</v>
      </c>
      <c r="I5" s="1609" t="s">
        <v>228</v>
      </c>
      <c r="J5" s="1609" t="s">
        <v>229</v>
      </c>
      <c r="K5" s="1609" t="s">
        <v>532</v>
      </c>
      <c r="L5" s="1609" t="s">
        <v>790</v>
      </c>
      <c r="M5" s="1609" t="s">
        <v>423</v>
      </c>
      <c r="N5" s="1609" t="s">
        <v>496</v>
      </c>
      <c r="O5" s="1609" t="s">
        <v>534</v>
      </c>
      <c r="P5" s="1609" t="s">
        <v>227</v>
      </c>
      <c r="Q5" s="1609" t="s">
        <v>59</v>
      </c>
      <c r="R5" s="1621" t="s">
        <v>230</v>
      </c>
      <c r="S5" s="1624" t="s">
        <v>233</v>
      </c>
      <c r="T5" s="1615" t="s">
        <v>234</v>
      </c>
      <c r="U5" s="1612" t="s">
        <v>235</v>
      </c>
      <c r="V5" s="1636" t="s">
        <v>421</v>
      </c>
      <c r="W5" s="1653" t="s">
        <v>236</v>
      </c>
      <c r="X5" s="1656" t="s">
        <v>237</v>
      </c>
      <c r="Y5" s="1656" t="s">
        <v>238</v>
      </c>
      <c r="Z5" s="1639" t="s">
        <v>239</v>
      </c>
      <c r="AA5" s="1627" t="s">
        <v>240</v>
      </c>
      <c r="AB5" s="1609" t="s">
        <v>241</v>
      </c>
      <c r="AC5" s="1609" t="s">
        <v>242</v>
      </c>
      <c r="AD5" s="1659" t="s">
        <v>243</v>
      </c>
      <c r="AE5" s="1602" t="s">
        <v>246</v>
      </c>
      <c r="AF5" s="1630" t="s">
        <v>244</v>
      </c>
      <c r="AG5" s="1609" t="s">
        <v>245</v>
      </c>
      <c r="AH5" s="1621" t="s">
        <v>264</v>
      </c>
      <c r="AI5" s="1627" t="s">
        <v>247</v>
      </c>
      <c r="AJ5" s="1633" t="s">
        <v>325</v>
      </c>
      <c r="AK5" s="1618" t="s">
        <v>326</v>
      </c>
      <c r="AL5" s="1602" t="s">
        <v>327</v>
      </c>
      <c r="AM5" s="1602" t="s">
        <v>477</v>
      </c>
      <c r="AN5" s="1602" t="s">
        <v>328</v>
      </c>
      <c r="AO5" s="1602" t="s">
        <v>329</v>
      </c>
      <c r="AP5" s="1602" t="s">
        <v>390</v>
      </c>
      <c r="AQ5" s="1602" t="s">
        <v>248</v>
      </c>
      <c r="AR5" s="1602" t="s">
        <v>249</v>
      </c>
      <c r="AS5" s="1602" t="s">
        <v>507</v>
      </c>
      <c r="AT5" s="1602" t="s">
        <v>379</v>
      </c>
      <c r="AU5" s="1602" t="s">
        <v>380</v>
      </c>
      <c r="AV5" s="1602" t="s">
        <v>440</v>
      </c>
      <c r="AW5" s="1602" t="s">
        <v>422</v>
      </c>
      <c r="AX5" s="1602" t="s">
        <v>1020</v>
      </c>
      <c r="AY5" s="1602" t="s">
        <v>1021</v>
      </c>
      <c r="BE5" s="1607" t="s">
        <v>265</v>
      </c>
      <c r="BF5" s="1608"/>
      <c r="BG5" s="1607" t="s">
        <v>266</v>
      </c>
      <c r="BH5" s="1608"/>
      <c r="BI5" s="1607" t="s">
        <v>267</v>
      </c>
      <c r="BJ5" s="1608"/>
      <c r="BK5" s="1607" t="s">
        <v>268</v>
      </c>
      <c r="BL5" s="1608"/>
    </row>
    <row r="6" spans="1:64" ht="21.75" customHeight="1">
      <c r="A6" s="1643"/>
      <c r="B6" s="298"/>
      <c r="C6" s="1646"/>
      <c r="D6" s="1603"/>
      <c r="E6" s="1603"/>
      <c r="F6" s="1648"/>
      <c r="G6" s="1651"/>
      <c r="H6" s="1610"/>
      <c r="I6" s="1610"/>
      <c r="J6" s="1610"/>
      <c r="K6" s="1610"/>
      <c r="L6" s="1610"/>
      <c r="M6" s="1610"/>
      <c r="N6" s="1610"/>
      <c r="O6" s="1610"/>
      <c r="P6" s="1610"/>
      <c r="Q6" s="1610"/>
      <c r="R6" s="1622"/>
      <c r="S6" s="1625"/>
      <c r="T6" s="1616"/>
      <c r="U6" s="1613"/>
      <c r="V6" s="1637"/>
      <c r="W6" s="1654"/>
      <c r="X6" s="1657"/>
      <c r="Y6" s="1657"/>
      <c r="Z6" s="1640"/>
      <c r="AA6" s="1628"/>
      <c r="AB6" s="1610"/>
      <c r="AC6" s="1610"/>
      <c r="AD6" s="1660"/>
      <c r="AE6" s="1603"/>
      <c r="AF6" s="1631"/>
      <c r="AG6" s="1610"/>
      <c r="AH6" s="1622"/>
      <c r="AI6" s="1628"/>
      <c r="AJ6" s="1634"/>
      <c r="AK6" s="1619"/>
      <c r="AL6" s="1603"/>
      <c r="AM6" s="1603"/>
      <c r="AN6" s="1603"/>
      <c r="AO6" s="1603"/>
      <c r="AP6" s="1603"/>
      <c r="AQ6" s="1603"/>
      <c r="AR6" s="1603"/>
      <c r="AS6" s="1603"/>
      <c r="AT6" s="1603"/>
      <c r="AU6" s="1603"/>
      <c r="AV6" s="1603"/>
      <c r="AW6" s="1603"/>
      <c r="AX6" s="1603"/>
      <c r="AY6" s="1603"/>
      <c r="BE6" s="1605" t="s">
        <v>225</v>
      </c>
      <c r="BF6" s="1605" t="s">
        <v>226</v>
      </c>
      <c r="BG6" s="1605" t="s">
        <v>225</v>
      </c>
      <c r="BH6" s="1605" t="s">
        <v>226</v>
      </c>
      <c r="BI6" s="1605" t="s">
        <v>225</v>
      </c>
      <c r="BJ6" s="1605" t="s">
        <v>226</v>
      </c>
      <c r="BK6" s="1605" t="s">
        <v>225</v>
      </c>
      <c r="BL6" s="1605" t="s">
        <v>226</v>
      </c>
    </row>
    <row r="7" spans="1:64" ht="38.25" customHeight="1" thickBot="1">
      <c r="A7" s="1644"/>
      <c r="B7" s="299"/>
      <c r="C7" s="288" t="str">
        <f>Datos!A7</f>
        <v>COMPETENCIAS</v>
      </c>
      <c r="D7" s="1604"/>
      <c r="E7" s="1604"/>
      <c r="F7" s="1649"/>
      <c r="G7" s="1652"/>
      <c r="H7" s="1611"/>
      <c r="I7" s="1611"/>
      <c r="J7" s="1611"/>
      <c r="K7" s="1611"/>
      <c r="L7" s="1611"/>
      <c r="M7" s="1611"/>
      <c r="N7" s="1611"/>
      <c r="O7" s="1611"/>
      <c r="P7" s="1611"/>
      <c r="Q7" s="1611"/>
      <c r="R7" s="1623"/>
      <c r="S7" s="1626"/>
      <c r="T7" s="1617"/>
      <c r="U7" s="1614"/>
      <c r="V7" s="1638"/>
      <c r="W7" s="1655"/>
      <c r="X7" s="1658"/>
      <c r="Y7" s="1658"/>
      <c r="Z7" s="1641"/>
      <c r="AA7" s="1629"/>
      <c r="AB7" s="1611"/>
      <c r="AC7" s="1611"/>
      <c r="AD7" s="1661"/>
      <c r="AE7" s="1604"/>
      <c r="AF7" s="1632"/>
      <c r="AG7" s="1611"/>
      <c r="AH7" s="1623"/>
      <c r="AI7" s="1629"/>
      <c r="AJ7" s="1635"/>
      <c r="AK7" s="1620"/>
      <c r="AL7" s="1604"/>
      <c r="AM7" s="1604"/>
      <c r="AN7" s="1604"/>
      <c r="AO7" s="1604"/>
      <c r="AP7" s="1604"/>
      <c r="AQ7" s="1604"/>
      <c r="AR7" s="1604"/>
      <c r="AS7" s="1604"/>
      <c r="AT7" s="1604"/>
      <c r="AU7" s="1604"/>
      <c r="AV7" s="1604"/>
      <c r="AW7" s="1604"/>
      <c r="AX7" s="1604"/>
      <c r="AY7" s="1604"/>
      <c r="BE7" s="1606"/>
      <c r="BF7" s="1606"/>
      <c r="BG7" s="1606"/>
      <c r="BH7" s="1606"/>
      <c r="BI7" s="1606"/>
      <c r="BJ7" s="1606"/>
      <c r="BK7" s="1606"/>
      <c r="BL7" s="1606"/>
    </row>
    <row r="8" spans="1:64" ht="15.75" thickTop="1" thickBot="1">
      <c r="A8" s="189"/>
      <c r="B8" s="189"/>
      <c r="C8" s="174" t="str">
        <f>Datos!A8</f>
        <v>Jurisdicción Civil ( 1 ):</v>
      </c>
      <c r="D8" s="238"/>
      <c r="E8" s="238"/>
      <c r="F8" s="230"/>
      <c r="G8" s="230"/>
      <c r="H8" s="230"/>
      <c r="I8" s="231"/>
      <c r="J8" s="231"/>
      <c r="K8" s="231"/>
      <c r="L8" s="231"/>
      <c r="M8" s="231"/>
      <c r="N8" s="231"/>
      <c r="O8" s="231"/>
      <c r="P8" s="231"/>
      <c r="Q8" s="231"/>
      <c r="R8" s="231"/>
      <c r="S8" s="235"/>
      <c r="T8" s="236"/>
      <c r="U8" s="236"/>
      <c r="V8" s="237"/>
      <c r="W8" s="230"/>
      <c r="X8" s="231"/>
      <c r="Y8" s="231"/>
      <c r="Z8" s="231"/>
      <c r="AA8" s="230"/>
      <c r="AB8" s="231"/>
      <c r="AC8" s="231"/>
      <c r="AD8" s="231"/>
      <c r="AE8" s="339"/>
      <c r="AF8" s="230"/>
      <c r="AG8" s="231"/>
      <c r="AH8" s="232"/>
      <c r="AI8" s="230"/>
      <c r="AJ8" s="233"/>
      <c r="AK8" s="234"/>
      <c r="AL8" s="235"/>
      <c r="AM8" s="236"/>
      <c r="AN8" s="236"/>
      <c r="AO8" s="237"/>
      <c r="AP8" s="238"/>
      <c r="AQ8" s="238"/>
      <c r="AR8" s="331"/>
      <c r="AS8" s="238"/>
      <c r="AT8" s="238"/>
      <c r="AU8" s="238"/>
      <c r="AV8" s="238"/>
      <c r="AW8" s="325"/>
      <c r="AX8" s="325"/>
      <c r="AY8" s="325"/>
      <c r="BE8" s="53"/>
      <c r="BF8" s="53"/>
      <c r="BG8" s="53"/>
      <c r="BH8" s="53"/>
      <c r="BI8" s="53"/>
      <c r="BJ8" s="53"/>
      <c r="BK8" s="53"/>
      <c r="BL8" s="53"/>
    </row>
    <row r="9" spans="1:64" ht="14.25">
      <c r="A9" s="190">
        <f>Datos!AO9</f>
        <v>17</v>
      </c>
      <c r="B9" s="190" t="s">
        <v>324</v>
      </c>
      <c r="C9" s="173" t="str">
        <f>Datos!A9</f>
        <v xml:space="preserve">Jdos. 1ª Instancia   </v>
      </c>
      <c r="D9" s="173"/>
      <c r="E9" s="290">
        <f>IF(ISNUMBER(Datos!AQ9),Datos!AQ9," - ")</f>
        <v>17</v>
      </c>
      <c r="F9" s="239" t="str">
        <f>IF(ISNUMBER(AA9+W9-I9-K9),AA9+W9-I9-K9," - ")</f>
        <v xml:space="preserve"> - </v>
      </c>
      <c r="G9" s="373" t="str">
        <f>IF(ISNUMBER(IF(J_V="SI",Datos!I9,Datos!I9+Datos!Y9)-IF(Monitorios="SI",Datos!CA9,0)),
                          IF(J_V="SI",Datos!I9,Datos!I9+Datos!Y9)-IF(Monitorios="SI",Datos!CA9,0),
                          " - ")</f>
        <v xml:space="preserve"> - </v>
      </c>
      <c r="H9" s="239" t="str">
        <f>IF(ISNUMBER(Datos!DB9),Datos!DB9," - ")</f>
        <v xml:space="preserve"> - </v>
      </c>
      <c r="I9" s="240" t="str">
        <f>IF(ISNUMBER(Datos!DC9),Datos!DC9," - ")</f>
        <v xml:space="preserve"> - </v>
      </c>
      <c r="J9" s="240" t="str">
        <f>IF(ISNUMBER(Datos!DD9),Datos!DD9," - ")</f>
        <v xml:space="preserve"> - </v>
      </c>
      <c r="K9" s="240">
        <f>IF(ISNUMBER(Datos!DF9),Datos!DF9,0)</f>
        <v>0</v>
      </c>
      <c r="L9" s="240">
        <f>IF(ISNUMBER(Datos!P9),Datos!P9,0)</f>
        <v>6660</v>
      </c>
      <c r="M9" s="240" t="str">
        <f>IF(ISNUMBER(Datos!DE9),Datos!DE9," - ")</f>
        <v xml:space="preserve"> - </v>
      </c>
      <c r="N9" s="240" t="str">
        <f>IF(ISNUMBER(H9+L9),H9+L9," - ")</f>
        <v xml:space="preserve"> - </v>
      </c>
      <c r="O9" s="374"/>
      <c r="P9" s="379" t="str">
        <f>IF(ISNUMBER((N9)/((BK9+BL9)/2)),(N9)/((BK9+BL9)/2)," - ")</f>
        <v xml:space="preserve"> - </v>
      </c>
      <c r="Q9" s="379" t="str">
        <f>IF(ISNUMBER((N9)/((BK9+BL9)/2)),(N9)/((BK9+BL9)/2)," - ")</f>
        <v xml:space="preserve"> - </v>
      </c>
      <c r="R9" s="241" t="str">
        <f>IF(ISNUMBER(Datos!CB9),Datos!CB9," - ")</f>
        <v xml:space="preserve"> - </v>
      </c>
      <c r="S9" s="239">
        <f>IF(ISNUMBER(Datos!BY9+Datos!BZ9*0.86),Datos!BY9+Datos!BZ9*0.86," - ")</f>
        <v>0</v>
      </c>
      <c r="T9" s="379">
        <f>IF(ISNUMBER((S9*factor_trimestre)/DatosB!CN9),(S9*factor_trimestre)/DatosB!CN9,"-")</f>
        <v>0</v>
      </c>
      <c r="U9" s="324"/>
      <c r="V9" s="379">
        <f>IF(ISNUMBER((U9*factor_trimestre)/DatosB!CN9),(U9*factor_trimestre)/DatosB!CN9,"-")</f>
        <v>0</v>
      </c>
      <c r="W9" s="239" t="str">
        <f>IF(ISNUMBER(IF(J_V="SI",Datos!K9,Datos!K9+Datos!AA9)-IF(Monitorios="SI",Datos!CC9,0)),
                          IF(J_V="SI",Datos!K9,Datos!K9+Datos!AA9)-IF(Monitorios="SI",Datos!CC9,0),
                          " - ")</f>
        <v xml:space="preserve"> - </v>
      </c>
      <c r="X9" s="240">
        <f>IF(ISNUMBER(Datos!Q9),Datos!Q9," - ")</f>
        <v>8782</v>
      </c>
      <c r="Y9" s="374">
        <f>SUM(W9:X9)</f>
        <v>8782</v>
      </c>
      <c r="Z9" s="375" t="str">
        <f>IF(ISNUMBER(Datos!CC9),Datos!CC9," - ")</f>
        <v xml:space="preserve"> - </v>
      </c>
      <c r="AA9" s="372" t="str">
        <f>IF(ISNUMBER(IF(J_V="SI",Datos!L9,Datos!L9+Datos!AB9)-IF(Monitorios="SI",Datos!CD9,0)),
                          IF(J_V="SI",Datos!L9,Datos!L9+Datos!AB9)-IF(Monitorios="SI",Datos!CD9,0),
                          " - ")</f>
        <v xml:space="preserve"> - </v>
      </c>
      <c r="AB9" s="374">
        <f>IF(ISNUMBER(Datos!R9),Datos!R9," - ")</f>
        <v>21751</v>
      </c>
      <c r="AC9" s="374" t="str">
        <f>IF(ISNUMBER(AA9+AB9),AA9+AB9," - ")</f>
        <v xml:space="preserve"> - </v>
      </c>
      <c r="AD9" s="375" t="str">
        <f>IF(ISNUMBER(Datos!CD9),Datos!CD9," - ")</f>
        <v xml:space="preserve"> - </v>
      </c>
      <c r="AE9" s="243" t="str">
        <f>IF(ISNUMBER(Datos!BV9),Datos!BV9," - ")</f>
        <v xml:space="preserve"> - </v>
      </c>
      <c r="AF9" s="239" t="str">
        <f>IF(ISNUMBER(Datos!CK9),Datos!CK9," - ")</f>
        <v xml:space="preserve"> - </v>
      </c>
      <c r="AG9" s="324" t="str">
        <f>IF(ISNUMBER(Datos!CL9),Datos!CL9," - ")</f>
        <v xml:space="preserve"> - </v>
      </c>
      <c r="AH9" s="241" t="str">
        <f>IF(ISNUMBER(Datos!CM9),Datos!CM9," - ")</f>
        <v xml:space="preserve"> - </v>
      </c>
      <c r="AI9" s="239">
        <f>IF(ISNUMBER(Datos!M9),Datos!M9," - ")</f>
        <v>8836</v>
      </c>
      <c r="AJ9" s="243" t="str">
        <f>IF(ISNUMBER(Datos!BW9),Datos!BW9," - ")</f>
        <v xml:space="preserve"> - </v>
      </c>
      <c r="AK9" s="242" t="str">
        <f>IF(ISNUMBER(Datos!BX9),Datos!BX9," - ")</f>
        <v xml:space="preserve"> - </v>
      </c>
      <c r="AL9" s="266">
        <f>IF(ISNUMBER(NºAsuntos!G9/NºAsuntos!E9),NºAsuntos!G9/NºAsuntos!E9," - ")</f>
        <v>1.0235824059353471</v>
      </c>
      <c r="AM9" s="284">
        <f>IF(ISNUMBER(((NºAsuntos!I9/NºAsuntos!G9)*11)/factor_trimestre),((NºAsuntos!I9/NºAsuntos!G9)*11)/factor_trimestre," - ")</f>
        <v>6.8138493398912763</v>
      </c>
      <c r="AN9" s="267">
        <f>IF(ISNUMBER('Resol  Asuntos'!D9/NºAsuntos!G9),'Resol  Asuntos'!D9/NºAsuntos!G9," - ")</f>
        <v>0.22873414444732074</v>
      </c>
      <c r="AO9" s="268">
        <f>IF(ISNUMBER((NºAsuntos!C9+NºAsuntos!E9)/NºAsuntos!G9),(NºAsuntos!C9+NºAsuntos!E9)/NºAsuntos!G9," - ")</f>
        <v>1.5767797048925705</v>
      </c>
      <c r="AP9" s="244" t="str">
        <f>IF(ISNUMBER(AT9/AU9),AT9/AU9," - ")</f>
        <v xml:space="preserve"> - </v>
      </c>
      <c r="AQ9" s="244" t="str">
        <f>IF(ISNUMBER((I9-W9+K9)/(F9)),(I9-W9+K9)/(F9)," - ")</f>
        <v xml:space="preserve"> - </v>
      </c>
      <c r="AR9" s="332" t="str">
        <f>IF(ISNUMBER((Datos!P9-Datos!Q9+M9)/(Datos!R9-Datos!P9+Datos!Q9-M9)),(Datos!P9-Datos!Q9+M9)/(Datos!R9-Datos!P9+Datos!Q9-M9)," - ")</f>
        <v xml:space="preserve"> - </v>
      </c>
      <c r="AS9" s="290" t="str">
        <f>IF(ISNUMBER(Datos!CS9),Datos!CS9," - ")</f>
        <v xml:space="preserve"> - </v>
      </c>
      <c r="AT9" s="290" t="str">
        <f>IF(ISNUMBER(Datos!CI9),Datos!CI9," - ")</f>
        <v xml:space="preserve"> - </v>
      </c>
      <c r="AU9" s="290" t="str">
        <f>IF(ISNUMBER(Datos!CJ9),Datos!CJ9," - ")</f>
        <v xml:space="preserve"> - </v>
      </c>
      <c r="AV9" s="290" t="str">
        <f>IF(ISNUMBER(Datos!CW9),Datos!CW9," - ")</f>
        <v xml:space="preserve"> - </v>
      </c>
      <c r="AW9" s="290">
        <f>IF(ISNUMBER(Datos!CX9)," - ",Datos!CX9)</f>
        <v>0</v>
      </c>
      <c r="AX9" s="290" t="str">
        <f>IF(ISNUMBER(Datos!ET9),Datos!ET9," - ")</f>
        <v xml:space="preserve"> - </v>
      </c>
      <c r="AY9" s="1327" t="e">
        <f>(AX9/Datos!ER9)*factor_trimestre</f>
        <v>#VALUE!</v>
      </c>
      <c r="BE9" s="167">
        <f>Datos!BN9/factor_trimestre</f>
        <v>0</v>
      </c>
      <c r="BF9" s="167">
        <f>Datos!BO9/factor_trimestre</f>
        <v>0</v>
      </c>
      <c r="BG9" s="167">
        <f>Datos!BP9/factor_trimestre</f>
        <v>0</v>
      </c>
      <c r="BH9" s="167">
        <f>Datos!BQ9/factor_trimestre</f>
        <v>0</v>
      </c>
      <c r="BI9" s="167">
        <f>Datos!BR9/factor_trimestre</f>
        <v>0</v>
      </c>
      <c r="BJ9" s="167">
        <f>Datos!BS9/factor_trimestre</f>
        <v>0</v>
      </c>
      <c r="BK9" s="167">
        <f>Datos!BT9/factor_trimestre</f>
        <v>0</v>
      </c>
      <c r="BL9" s="167">
        <f>Datos!BU9/factor_trimestre</f>
        <v>0</v>
      </c>
    </row>
    <row r="10" spans="1:64" ht="14.25">
      <c r="A10" s="190">
        <f>Datos!AO10</f>
        <v>3</v>
      </c>
      <c r="B10" s="300" t="s">
        <v>324</v>
      </c>
      <c r="C10" s="7" t="str">
        <f>Datos!A10</f>
        <v>Jdos. Violencia contra la mujer</v>
      </c>
      <c r="D10" s="7"/>
      <c r="E10" s="290">
        <f>IF(ISNUMBER(Datos!AQ10),Datos!AQ10," - ")</f>
        <v>3</v>
      </c>
      <c r="F10" s="239">
        <f>IF(ISNUMBER(Datos!L10+Datos!K10-Datos!J10-K10),Datos!L10+Datos!K10-Datos!J10-K10," - ")</f>
        <v>265</v>
      </c>
      <c r="G10" s="373">
        <f>IF(ISNUMBER(Datos!I10),Datos!I10," - ")</f>
        <v>260</v>
      </c>
      <c r="H10" s="239" t="str">
        <f>IF(ISNUMBER(Datos!DB10),Datos!DB10," - ")</f>
        <v xml:space="preserve"> - </v>
      </c>
      <c r="I10" s="240" t="str">
        <f>IF(ISNUMBER(Datos!DC10),Datos!DC10," - ")</f>
        <v xml:space="preserve"> - </v>
      </c>
      <c r="J10" s="240" t="str">
        <f>IF(ISNUMBER(Datos!DD10),Datos!DD10," - ")</f>
        <v xml:space="preserve"> - </v>
      </c>
      <c r="K10" s="240">
        <f>IF(ISNUMBER(Datos!DF10),Datos!DF10,0)</f>
        <v>0</v>
      </c>
      <c r="L10" s="240">
        <f>IF(ISNUMBER(Datos!P10),Datos!P10,0)</f>
        <v>163</v>
      </c>
      <c r="M10" s="240" t="str">
        <f>IF(ISNUMBER(Datos!DE10),Datos!DE10," - ")</f>
        <v xml:space="preserve"> - </v>
      </c>
      <c r="N10" s="240" t="str">
        <f>IF(ISNUMBER(H10),H10," - ")</f>
        <v xml:space="preserve"> - </v>
      </c>
      <c r="O10" s="344" t="e">
        <f ca="1">IF(ISNUMBER(INDIRECT("N"&amp;ROW()+salto-1)),N10+(INDIRECT("N"&amp;ROW()+salto-1)),N10+(INDIRECT("N"&amp;ROW()-salto+1)))</f>
        <v>#VALUE!</v>
      </c>
      <c r="P10" s="379" t="str">
        <f>IF(ISNUMBER((N10)/((BK10+BL10)/2)),(N10)/((BK10+BL10)/2)," - ")</f>
        <v xml:space="preserve"> - </v>
      </c>
      <c r="Q10" s="379" t="str">
        <f>IF(jurisdiccion="Jurisdicción Civil y Penal",IF(ISNUMBER((O10)/((BK10+BL10)/2)),(O10)/((BK10+BL10)/2)," - "),IF(ISNUMBER((N10)/((BE10+BF10)/2)),(N10)/((BE10+BF10)/2)," - "))</f>
        <v xml:space="preserve"> - </v>
      </c>
      <c r="R10" s="241" t="str">
        <f>IF(ISNUMBER(Datos!CB10),Datos!CB10," - ")</f>
        <v xml:space="preserve"> - </v>
      </c>
      <c r="S10" s="239" t="str">
        <f>IF(ISNUMBER(Datos!BY10),Datos!BY10," - ")</f>
        <v xml:space="preserve"> - </v>
      </c>
      <c r="T10" s="379" t="str">
        <f>IF(ISNUMBER((S10*factor_trimestre)/DatosB!CN10),(S10*factor_trimestre)/DatosB!CN10,"-")</f>
        <v>-</v>
      </c>
      <c r="U10" s="154" t="e">
        <f ca="1">IF(ISNUMBER(INDIRECT("S"&amp;ROW()+salto-1)),S10+(INDIRECT("S"&amp;ROW()+salto-1)),S10+(INDIRECT("S"&amp;ROW()-salto+1)))</f>
        <v>#VALUE!</v>
      </c>
      <c r="V10" s="379" t="str">
        <f ca="1">IF(ISNUMBER((U10*factor_trimestre)/DatosB!CN10),(U10*factor_trimestre)/DatosB!CN10,"-")</f>
        <v>-</v>
      </c>
      <c r="W10" s="239">
        <f>IF(ISNUMBER(Datos!K10),Datos!K10," - ")</f>
        <v>532</v>
      </c>
      <c r="X10" s="240">
        <f>IF(ISNUMBER(Datos!Q10),Datos!Q10," - ")</f>
        <v>195</v>
      </c>
      <c r="Y10" s="374">
        <f t="shared" ref="Y10:Y13" si="0">SUM(W10:X10)</f>
        <v>727</v>
      </c>
      <c r="Z10" s="375" t="str">
        <f>IF(ISNUMBER(Datos!CC10),Datos!CC10," - ")</f>
        <v xml:space="preserve"> - </v>
      </c>
      <c r="AA10" s="372">
        <f>IF(ISNUMBER(Datos!L10),Datos!L10,"-")</f>
        <v>204</v>
      </c>
      <c r="AB10" s="374">
        <f>IF(ISNUMBER(Datos!R10),Datos!R10," - ")</f>
        <v>285</v>
      </c>
      <c r="AC10" s="374">
        <f t="shared" ref="AC10:AC13" si="1">IF(ISNUMBER(AA10+AB10),AA10+AB10," - ")</f>
        <v>489</v>
      </c>
      <c r="AD10" s="375" t="str">
        <f>IF(ISNUMBER(Datos!CD10),Datos!CD10," - ")</f>
        <v xml:space="preserve"> - </v>
      </c>
      <c r="AE10" s="243" t="str">
        <f>IF(ISNUMBER(Datos!BV10),Datos!BV10," - ")</f>
        <v xml:space="preserve"> - </v>
      </c>
      <c r="AF10" s="239" t="str">
        <f>IF(ISNUMBER(Datos!CK10),Datos!CK10," - ")</f>
        <v xml:space="preserve"> - </v>
      </c>
      <c r="AG10" s="324" t="str">
        <f>IF(ISNUMBER(Datos!CL10),Datos!CL10," - ")</f>
        <v xml:space="preserve"> - </v>
      </c>
      <c r="AH10" s="241" t="str">
        <f>IF(ISNUMBER(Datos!CM10),Datos!CM10," - ")</f>
        <v xml:space="preserve"> - </v>
      </c>
      <c r="AI10" s="239">
        <f>IF(ISNUMBER(Datos!M10),Datos!M10," - ")</f>
        <v>207</v>
      </c>
      <c r="AJ10" s="245" t="str">
        <f>IF(ISNUMBER(Datos!BW10),Datos!BW10," - ")</f>
        <v xml:space="preserve"> - </v>
      </c>
      <c r="AK10" s="246" t="str">
        <f>IF(ISNUMBER(Datos!BX10),Datos!BX10," - ")</f>
        <v xml:space="preserve"> - </v>
      </c>
      <c r="AL10" s="266">
        <f>IF(ISNUMBER(NºAsuntos!G10/NºAsuntos!E10),NºAsuntos!G10/NºAsuntos!E10," - ")</f>
        <v>1.1295116772823779</v>
      </c>
      <c r="AM10" s="284">
        <f>IF(ISNUMBER(((NºAsuntos!I10/NºAsuntos!G10)*11)/factor_trimestre),((NºAsuntos!I10/NºAsuntos!G10)*11)/factor_trimestre," - ")</f>
        <v>4.2180451127819545</v>
      </c>
      <c r="AN10" s="267">
        <f>IF(ISNUMBER('Resol  Asuntos'!D10/NºAsuntos!G10),'Resol  Asuntos'!D10/NºAsuntos!G10," - ")</f>
        <v>0.38909774436090228</v>
      </c>
      <c r="AO10" s="268">
        <f>IF(ISNUMBER((NºAsuntos!C10+NºAsuntos!E10)/NºAsuntos!G10),(NºAsuntos!C10+NºAsuntos!E10)/NºAsuntos!G10," - ")</f>
        <v>1.3740601503759398</v>
      </c>
      <c r="AP10" s="244" t="str">
        <f t="shared" ref="AP10:AP32" si="2">IF(ISNUMBER(AT10/AU10),AT10/AU10," - ")</f>
        <v xml:space="preserve"> - </v>
      </c>
      <c r="AQ10" s="244" t="str">
        <f>IF(ISNUMBER((H10-W10+K10)/(F10)),(H10-W10+K10)/(F10)," - ")</f>
        <v xml:space="preserve"> - </v>
      </c>
      <c r="AR10" s="332" t="str">
        <f>IF(ISNUMBER((Datos!P10-Datos!Q10+M10)/(Datos!R10-Datos!P10+Datos!Q10-M10)),(Datos!P10-Datos!Q10+M10)/(Datos!R10-Datos!P10+Datos!Q10-M10)," - ")</f>
        <v xml:space="preserve"> - </v>
      </c>
      <c r="AS10" s="290" t="str">
        <f>IF(ISNUMBER(Datos!CS10),Datos!CS10," - ")</f>
        <v xml:space="preserve"> - </v>
      </c>
      <c r="AT10" s="290" t="str">
        <f>IF(ISNUMBER(Datos!CI10),Datos!CI10," - ")</f>
        <v xml:space="preserve"> - </v>
      </c>
      <c r="AU10" s="290" t="str">
        <f>IF(ISNUMBER(Datos!CJ10),Datos!CJ10," - ")</f>
        <v xml:space="preserve"> - </v>
      </c>
      <c r="AV10" s="290" t="str">
        <f>IF(ISNUMBER(Datos!CW10),Datos!CW10," - ")</f>
        <v xml:space="preserve"> - </v>
      </c>
      <c r="AW10" s="290">
        <f>IF(ISNUMBER(Datos!CX10)," - ",Datos!CX10)</f>
        <v>0</v>
      </c>
      <c r="AX10" s="290" t="str">
        <f>IF(ISNUMBER(Datos!EO10),Datos!EO10," - ")</f>
        <v xml:space="preserve"> - </v>
      </c>
      <c r="AY10" s="1327" t="e">
        <f>(AX10/Datos!ER10)*factor_trimestre</f>
        <v>#VALUE!</v>
      </c>
      <c r="BE10" s="167">
        <f>Datos!BN10/factor_trimestre</f>
        <v>0</v>
      </c>
      <c r="BF10" s="167">
        <f>Datos!BO10/factor_trimestre</f>
        <v>0</v>
      </c>
      <c r="BG10" s="167">
        <f>Datos!BP10/factor_trimestre</f>
        <v>0</v>
      </c>
      <c r="BH10" s="167">
        <f>Datos!BQ10/factor_trimestre</f>
        <v>0</v>
      </c>
      <c r="BI10" s="167">
        <f>Datos!BR10/factor_trimestre</f>
        <v>0</v>
      </c>
      <c r="BJ10" s="167">
        <f>Datos!BS10/factor_trimestre</f>
        <v>0</v>
      </c>
      <c r="BK10" s="167">
        <f>Datos!BT10/factor_trimestre</f>
        <v>0</v>
      </c>
      <c r="BL10" s="167">
        <f>Datos!BU10/factor_trimestre</f>
        <v>0</v>
      </c>
    </row>
    <row r="11" spans="1:64" ht="14.25">
      <c r="A11" s="190">
        <f>Datos!AO11</f>
        <v>4</v>
      </c>
      <c r="B11" s="300" t="s">
        <v>324</v>
      </c>
      <c r="C11" s="7" t="str">
        <f>Datos!A11</f>
        <v xml:space="preserve">Jdos. Familia                                   </v>
      </c>
      <c r="D11" s="7"/>
      <c r="E11" s="290">
        <f>IF(ISNUMBER(Datos!AQ11),Datos!AQ11," - ")</f>
        <v>4</v>
      </c>
      <c r="F11" s="239" t="str">
        <f>IF(ISNUMBER(AA11+W11-I11-K11),AA11+W11-I11-K11," - ")</f>
        <v xml:space="preserve"> - </v>
      </c>
      <c r="G11" s="373" t="str">
        <f>IF(ISNUMBER(IF(J_V="SI",Datos!I11,Datos!I11+Datos!Y11)-IF(Monitorios="SI",Datos!CA11,0)),
                          IF(J_V="SI",Datos!I11,Datos!I11+Datos!Y11)-IF(Monitorios="SI",Datos!CA11,0),
                          " - ")</f>
        <v xml:space="preserve"> - </v>
      </c>
      <c r="H11" s="239" t="str">
        <f>IF(ISNUMBER(Datos!DB11),Datos!DB11," - ")</f>
        <v xml:space="preserve"> - </v>
      </c>
      <c r="I11" s="240" t="str">
        <f>IF(ISNUMBER(Datos!DC11),Datos!DC11," - ")</f>
        <v xml:space="preserve"> - </v>
      </c>
      <c r="J11" s="240" t="str">
        <f>IF(ISNUMBER(Datos!DD11),Datos!DD11," - ")</f>
        <v xml:space="preserve"> - </v>
      </c>
      <c r="K11" s="240">
        <f>IF(ISNUMBER(Datos!DF11),Datos!DF11,0)</f>
        <v>0</v>
      </c>
      <c r="L11" s="240">
        <f>IF(ISNUMBER(Datos!P11),Datos!P11,0)</f>
        <v>879</v>
      </c>
      <c r="M11" s="240" t="str">
        <f>IF(ISNUMBER(Datos!DE11),Datos!DE11," - ")</f>
        <v xml:space="preserve"> - </v>
      </c>
      <c r="N11" s="240" t="str">
        <f>IF(ISNUMBER(H11+L11),H11+L11," - ")</f>
        <v xml:space="preserve"> - </v>
      </c>
      <c r="O11" s="374"/>
      <c r="P11" s="379" t="str">
        <f>IF(ISNUMBER((N11)/((BK11+BL11)/2)),(N11)/((BK11+BL11)/2)," - ")</f>
        <v xml:space="preserve"> - </v>
      </c>
      <c r="Q11" s="379" t="str">
        <f>IF(ISNUMBER((N11)/((BK11+BL11)/2)),(N11)/((BK11+BL11)/2)," - ")</f>
        <v xml:space="preserve"> - </v>
      </c>
      <c r="R11" s="241" t="str">
        <f>IF(ISNUMBER(Datos!CB11),Datos!CB11," - ")</f>
        <v xml:space="preserve"> - </v>
      </c>
      <c r="S11" s="239">
        <f>IF(ISNUMBER(Datos!BY11+Datos!BZ11),Datos!BY11+Datos!BZ11," - ")</f>
        <v>0</v>
      </c>
      <c r="T11" s="379">
        <f>IF(ISNUMBER((S11*factor_trimestre)/DatosB!CN11),(S11*factor_trimestre)/DatosB!CN11,"-")</f>
        <v>0</v>
      </c>
      <c r="U11" s="324"/>
      <c r="V11" s="379">
        <f>IF(ISNUMBER((U11*factor_trimestre)/DatosB!CN11),(U11*factor_trimestre)/DatosB!CN11,"-")</f>
        <v>0</v>
      </c>
      <c r="W11" s="239" t="str">
        <f>IF(ISNUMBER(IF(J_V="SI",Datos!K11,Datos!K11+Datos!AA11)-IF(Monitorios="SI",Datos!CC11,0)),
                          IF(J_V="SI",Datos!K11,Datos!K11+Datos!AA11)-IF(Monitorios="SI",Datos!CC11,0),
                          " - ")</f>
        <v xml:space="preserve"> - </v>
      </c>
      <c r="X11" s="240">
        <f>IF(ISNUMBER(Datos!Q11),Datos!Q11," - ")</f>
        <v>1135</v>
      </c>
      <c r="Y11" s="374">
        <f t="shared" si="0"/>
        <v>1135</v>
      </c>
      <c r="Z11" s="375" t="str">
        <f>IF(ISNUMBER(Datos!CC11),Datos!CC11," - ")</f>
        <v xml:space="preserve"> - </v>
      </c>
      <c r="AA11" s="372" t="str">
        <f>IF(ISNUMBER(IF(J_V="SI",Datos!L11,Datos!L11+Datos!AB11)-IF(Monitorios="SI",Datos!CD11,0)),
                          IF(J_V="SI",Datos!L11,Datos!L11+Datos!AB11)-IF(Monitorios="SI",Datos!CD11,0),
                          " - ")</f>
        <v xml:space="preserve"> - </v>
      </c>
      <c r="AB11" s="374">
        <f>IF(ISNUMBER(Datos!R11),Datos!R11," - ")</f>
        <v>2366</v>
      </c>
      <c r="AC11" s="374" t="str">
        <f t="shared" si="1"/>
        <v xml:space="preserve"> - </v>
      </c>
      <c r="AD11" s="375" t="str">
        <f>IF(ISNUMBER(Datos!CD11),Datos!CD11," - ")</f>
        <v xml:space="preserve"> - </v>
      </c>
      <c r="AE11" s="243" t="str">
        <f>IF(ISNUMBER(Datos!BV11),Datos!BV11," - ")</f>
        <v xml:space="preserve"> - </v>
      </c>
      <c r="AF11" s="239" t="str">
        <f>IF(ISNUMBER(Datos!CK11),Datos!CK11," - ")</f>
        <v xml:space="preserve"> - </v>
      </c>
      <c r="AG11" s="324" t="str">
        <f>IF(ISNUMBER(Datos!CL11),Datos!CL11," - ")</f>
        <v xml:space="preserve"> - </v>
      </c>
      <c r="AH11" s="241" t="str">
        <f>IF(ISNUMBER(Datos!CM11),Datos!CM11," - ")</f>
        <v xml:space="preserve"> - </v>
      </c>
      <c r="AI11" s="239">
        <f>IF(ISNUMBER(Datos!M11),Datos!M11," - ")</f>
        <v>2904</v>
      </c>
      <c r="AJ11" s="245" t="str">
        <f>IF(ISNUMBER(Datos!BW11),Datos!BW11," - ")</f>
        <v xml:space="preserve"> - </v>
      </c>
      <c r="AK11" s="246" t="str">
        <f>IF(ISNUMBER(Datos!BX11),Datos!BX11," - ")</f>
        <v xml:space="preserve"> - </v>
      </c>
      <c r="AL11" s="266">
        <f>IF(ISNUMBER(NºAsuntos!G11/NºAsuntos!E11),NºAsuntos!G11/NºAsuntos!E11," - ")</f>
        <v>1.1227323213624583</v>
      </c>
      <c r="AM11" s="284">
        <f>IF(ISNUMBER(((NºAsuntos!I11/NºAsuntos!G11)*11)/factor_trimestre),((NºAsuntos!I11/NºAsuntos!G11)*11)/factor_trimestre," - ")</f>
        <v>4.7373454245671889</v>
      </c>
      <c r="AN11" s="267">
        <f>IF(ISNUMBER('Resol  Asuntos'!D11/NºAsuntos!G11),'Resol  Asuntos'!D11/NºAsuntos!G11," - ")</f>
        <v>0.47881286067600987</v>
      </c>
      <c r="AO11" s="268">
        <f>IF(ISNUMBER((NºAsuntos!C11+NºAsuntos!E11)/NºAsuntos!G11),(NºAsuntos!C11+NºAsuntos!E11)/NºAsuntos!G11," - ")</f>
        <v>1.4103874690849134</v>
      </c>
      <c r="AP11" s="244" t="str">
        <f t="shared" si="2"/>
        <v xml:space="preserve"> - </v>
      </c>
      <c r="AQ11" s="244" t="str">
        <f>IF(ISNUMBER((I11-W11+K11)/(F11)),(I11-W11+K11)/(F11)," - ")</f>
        <v xml:space="preserve"> - </v>
      </c>
      <c r="AR11" s="332" t="str">
        <f>IF(ISNUMBER((Datos!P11-Datos!Q11+M11)/(Datos!R11-Datos!P11+Datos!Q11-M11)),(Datos!P11-Datos!Q11+M11)/(Datos!R11-Datos!P11+Datos!Q11-M11)," - ")</f>
        <v xml:space="preserve"> - </v>
      </c>
      <c r="AS11" s="290" t="str">
        <f>IF(ISNUMBER(Datos!CS11),Datos!CS11," - ")</f>
        <v xml:space="preserve"> - </v>
      </c>
      <c r="AT11" s="290" t="str">
        <f>IF(ISNUMBER(Datos!CI11),Datos!CI11," - ")</f>
        <v xml:space="preserve"> - </v>
      </c>
      <c r="AU11" s="290" t="str">
        <f>IF(ISNUMBER(Datos!CJ11),Datos!CJ11," - ")</f>
        <v xml:space="preserve"> - </v>
      </c>
      <c r="AV11" s="290" t="str">
        <f>IF(ISNUMBER(Datos!CW11),Datos!CW11," - ")</f>
        <v xml:space="preserve"> - </v>
      </c>
      <c r="AW11" s="290">
        <f>IF(ISNUMBER(Datos!CX11)," - ",Datos!CX11)</f>
        <v>0</v>
      </c>
      <c r="AX11" s="290" t="str">
        <f>IF(ISNUMBER(Datos!ET11),Datos!ET11," - ")</f>
        <v xml:space="preserve"> - </v>
      </c>
      <c r="AY11" s="1327" t="e">
        <f>(AX11/Datos!ER11)*factor_trimestre</f>
        <v>#VALUE!</v>
      </c>
      <c r="BE11" s="167">
        <f>Datos!BN11/factor_trimestre</f>
        <v>0</v>
      </c>
      <c r="BF11" s="167">
        <f>Datos!BO11/factor_trimestre</f>
        <v>0</v>
      </c>
      <c r="BG11" s="167">
        <f>Datos!BP11/factor_trimestre</f>
        <v>0</v>
      </c>
      <c r="BH11" s="167">
        <f>Datos!BQ11/factor_trimestre</f>
        <v>0</v>
      </c>
      <c r="BI11" s="167">
        <f>Datos!BR11/factor_trimestre</f>
        <v>0</v>
      </c>
      <c r="BJ11" s="167">
        <f>Datos!BS11/factor_trimestre</f>
        <v>0</v>
      </c>
      <c r="BK11" s="167">
        <f>Datos!BT11/factor_trimestre</f>
        <v>0</v>
      </c>
      <c r="BL11" s="167">
        <f>Datos!BU11/factor_trimestre</f>
        <v>0</v>
      </c>
    </row>
    <row r="12" spans="1:64" ht="14.25">
      <c r="A12" s="190">
        <f>Datos!AO12</f>
        <v>0</v>
      </c>
      <c r="B12" s="300" t="s">
        <v>324</v>
      </c>
      <c r="C12" s="7" t="str">
        <f>Datos!A12</f>
        <v xml:space="preserve">Jdos. 1ª Instª. e Instr.                        </v>
      </c>
      <c r="D12" s="7"/>
      <c r="E12" s="290">
        <f>IF(ISNUMBER(Datos!AQ12),Datos!AQ12," - ")</f>
        <v>0</v>
      </c>
      <c r="F12" s="239" t="str">
        <f>IF(ISNUMBER(AA12+W12-I12-K12),AA12+W12-I12-K12," - ")</f>
        <v xml:space="preserve"> - </v>
      </c>
      <c r="G12" s="373" t="str">
        <f>IF(ISNUMBER(IF(J_V="SI",Datos!I12,Datos!I12+Datos!Y12)-IF(Monitorios="SI",Datos!CA12,0)),
                          IF(J_V="SI",Datos!I12,Datos!I12+Datos!Y12)-IF(Monitorios="SI",Datos!CA12,0),
                          " - ")</f>
        <v xml:space="preserve"> - </v>
      </c>
      <c r="H12" s="239" t="str">
        <f>IF(ISNUMBER(Datos!DB12),Datos!DB12," - ")</f>
        <v xml:space="preserve"> - </v>
      </c>
      <c r="I12" s="240" t="str">
        <f>IF(ISNUMBER(Datos!DC12),Datos!DC12," - ")</f>
        <v xml:space="preserve"> - </v>
      </c>
      <c r="J12" s="240" t="str">
        <f>IF(ISNUMBER(Datos!DD12),Datos!DD12," - ")</f>
        <v xml:space="preserve"> - </v>
      </c>
      <c r="K12" s="240">
        <f>IF(ISNUMBER(Datos!DF12),Datos!DF12,0)</f>
        <v>0</v>
      </c>
      <c r="L12" s="240">
        <f>IF(ISNUMBER(Datos!P12),Datos!P12,0)</f>
        <v>0</v>
      </c>
      <c r="M12" s="240" t="str">
        <f>IF(ISNUMBER(Datos!DE12),Datos!DE12," - ")</f>
        <v xml:space="preserve"> - </v>
      </c>
      <c r="N12" s="240" t="str">
        <f>IF(ISNUMBER(H12+L12),H12+L12," - ")</f>
        <v xml:space="preserve"> - </v>
      </c>
      <c r="O12" s="344" t="e">
        <f ca="1">IF(ISNUMBER(INDIRECT("N"&amp;ROW()+salto-1)),N12+(INDIRECT("N"&amp;ROW()+salto-1))/9.15,N12/9.15+(INDIRECT("N"&amp;ROW()-salto+1)))</f>
        <v>#VALUE!</v>
      </c>
      <c r="P12" s="379" t="str">
        <f>IF(ISNUMBER((N12)/((BE12+BF12)/2)),(N12)/((BE12+BF12)/2)," - ")</f>
        <v xml:space="preserve"> - </v>
      </c>
      <c r="Q12" s="379" t="str">
        <f>IF(jurisdiccion="Jurisdicción Civil y Penal",IF(ISNUMBER((O12)/((BK12+BL12)/2)),(O12)/((BK12+BL12)/2)," - "),IF(ISNUMBER((N12)/((BE12+BF12)/2)),(N12)/((BE12+BF12)/2)," - "))</f>
        <v xml:space="preserve"> - </v>
      </c>
      <c r="R12" s="241" t="str">
        <f>IF(ISNUMBER(Datos!CB12),Datos!CB12," - ")</f>
        <v xml:space="preserve"> - </v>
      </c>
      <c r="S12" s="239" t="str">
        <f>IF(ISNUMBER(Datos!BY12),Datos!BY12," - ")</f>
        <v xml:space="preserve"> - </v>
      </c>
      <c r="T12" s="379" t="str">
        <f>IF(ISNUMBER((S12*factor_trimestre)/DatosB!CN12),(S12*factor_trimestre)/DatosB!CN12,"-")</f>
        <v>-</v>
      </c>
      <c r="U12" s="154" t="e">
        <f ca="1">IF(ISNUMBER(INDIRECT("S"&amp;ROW()+salto-1)),S12+(INDIRECT("S"&amp;ROW()+salto-1)),S12+(INDIRECT("S"&amp;ROW()-salto+1)))</f>
        <v>#VALUE!</v>
      </c>
      <c r="V12" s="379" t="str">
        <f ca="1">IF(ISNUMBER((U12*factor_trimestre)/DatosB!CN12),(U12*factor_trimestre)/DatosB!CN12,"-")</f>
        <v>-</v>
      </c>
      <c r="W12" s="239" t="str">
        <f>IF(ISNUMBER(IF(J_V="SI",Datos!K12,Datos!K12+Datos!AA12)-IF(Monitorios="SI",Datos!CC12,0)),
                          IF(J_V="SI",Datos!K12,Datos!K12+Datos!AA12)-IF(Monitorios="SI",Datos!CC12,0),
                          " - ")</f>
        <v xml:space="preserve"> - </v>
      </c>
      <c r="X12" s="240" t="str">
        <f>IF(ISNUMBER(Datos!Q12),Datos!Q12," - ")</f>
        <v xml:space="preserve"> - </v>
      </c>
      <c r="Y12" s="374">
        <f t="shared" si="0"/>
        <v>0</v>
      </c>
      <c r="Z12" s="375" t="str">
        <f>IF(ISNUMBER(Datos!CC12),Datos!CC12," - ")</f>
        <v xml:space="preserve"> - </v>
      </c>
      <c r="AA12" s="372" t="str">
        <f>IF(ISNUMBER(IF(J_V="SI",Datos!L12,Datos!L12+Datos!AB12)-IF(Monitorios="SI",Datos!CD12,0)),
                          IF(J_V="SI",Datos!L12,Datos!L12+Datos!AB12)-IF(Monitorios="SI",Datos!CD12,0),
                          " - ")</f>
        <v xml:space="preserve"> - </v>
      </c>
      <c r="AB12" s="374" t="str">
        <f>IF(ISNUMBER(Datos!R12),Datos!R12," - ")</f>
        <v xml:space="preserve"> - </v>
      </c>
      <c r="AC12" s="374" t="str">
        <f t="shared" si="1"/>
        <v xml:space="preserve"> - </v>
      </c>
      <c r="AD12" s="375" t="str">
        <f>IF(ISNUMBER(Datos!CD12),Datos!CD12," - ")</f>
        <v xml:space="preserve"> - </v>
      </c>
      <c r="AE12" s="243" t="str">
        <f>IF(ISNUMBER(Datos!BV12),Datos!BV12," - ")</f>
        <v xml:space="preserve"> - </v>
      </c>
      <c r="AF12" s="239" t="str">
        <f>IF(ISNUMBER(Datos!CK12),Datos!CK12," - ")</f>
        <v xml:space="preserve"> - </v>
      </c>
      <c r="AG12" s="324" t="str">
        <f>IF(ISNUMBER(Datos!CL12),Datos!CL12," - ")</f>
        <v xml:space="preserve"> - </v>
      </c>
      <c r="AH12" s="241" t="str">
        <f>IF(ISNUMBER(Datos!CM12),Datos!CM12," - ")</f>
        <v xml:space="preserve"> - </v>
      </c>
      <c r="AI12" s="239" t="str">
        <f>IF(ISNUMBER(Datos!M12),Datos!M12," - ")</f>
        <v xml:space="preserve"> - </v>
      </c>
      <c r="AJ12" s="243" t="str">
        <f>IF(ISNUMBER(Datos!BW12),Datos!BW12," - ")</f>
        <v xml:space="preserve"> - </v>
      </c>
      <c r="AK12" s="242" t="str">
        <f>IF(ISNUMBER(Datos!BX12),Datos!BX12," - ")</f>
        <v xml:space="preserve"> - </v>
      </c>
      <c r="AL12" s="266" t="str">
        <f>IF(ISNUMBER(NºAsuntos!G12/NºAsuntos!E12),NºAsuntos!G12/NºAsuntos!E12," - ")</f>
        <v xml:space="preserve"> - </v>
      </c>
      <c r="AM12" s="284" t="str">
        <f>IF(ISNUMBER(((NºAsuntos!I12/NºAsuntos!G12)*11)/factor_trimestre),((NºAsuntos!I12/NºAsuntos!G12)*11)/factor_trimestre," - ")</f>
        <v xml:space="preserve"> - </v>
      </c>
      <c r="AN12" s="267" t="str">
        <f>IF(ISNUMBER('Resol  Asuntos'!D12/NºAsuntos!G12),'Resol  Asuntos'!D12/NºAsuntos!G12," - ")</f>
        <v xml:space="preserve"> - </v>
      </c>
      <c r="AO12" s="268" t="str">
        <f>IF(ISNUMBER((NºAsuntos!C12+NºAsuntos!E12)/NºAsuntos!G12),(NºAsuntos!C12+NºAsuntos!E12)/NºAsuntos!G12," - ")</f>
        <v xml:space="preserve"> - </v>
      </c>
      <c r="AP12" s="244" t="str">
        <f t="shared" si="2"/>
        <v xml:space="preserve"> - </v>
      </c>
      <c r="AQ12" s="244" t="str">
        <f>IF(ISNUMBER((I12-W12+K12)/(F12)),(I12-W12+K12)/(F12)," - ")</f>
        <v xml:space="preserve"> - </v>
      </c>
      <c r="AR12" s="332" t="str">
        <f>IF(ISNUMBER((Datos!P12-Datos!Q12+M12)/(Datos!R12-Datos!P12+Datos!Q12-M12)),(Datos!P12-Datos!Q12+M12)/(Datos!R12-Datos!P12+Datos!Q12-M12)," - ")</f>
        <v xml:space="preserve"> - </v>
      </c>
      <c r="AS12" s="290" t="str">
        <f>IF(ISNUMBER(Datos!CS12),Datos!CS12," - ")</f>
        <v xml:space="preserve"> - </v>
      </c>
      <c r="AT12" s="290" t="str">
        <f>IF(ISNUMBER(Datos!CI12),Datos!CI12," - ")</f>
        <v xml:space="preserve"> - </v>
      </c>
      <c r="AU12" s="290" t="str">
        <f>IF(ISNUMBER(Datos!CJ12),Datos!CJ12," - ")</f>
        <v xml:space="preserve"> - </v>
      </c>
      <c r="AV12" s="290" t="str">
        <f>IF(ISNUMBER(Datos!CW12),Datos!CW12," - ")</f>
        <v xml:space="preserve"> - </v>
      </c>
      <c r="AW12" s="290">
        <f>IF(ISNUMBER(Datos!CX12)," - ",Datos!CX12)</f>
        <v>0</v>
      </c>
      <c r="AX12" s="290" t="str">
        <f>IF(ISNUMBER(Datos!ET12),Datos!ET12," - ")</f>
        <v xml:space="preserve"> - </v>
      </c>
      <c r="AY12" s="1327" t="e">
        <f>(AX12/Datos!ER12)*factor_trimestre</f>
        <v>#VALUE!</v>
      </c>
      <c r="BE12" s="167">
        <f>Datos!BN12/factor_trimestre</f>
        <v>0</v>
      </c>
      <c r="BF12" s="167">
        <f>Datos!BO12/factor_trimestre</f>
        <v>0</v>
      </c>
      <c r="BG12" s="167">
        <f>Datos!BP12/factor_trimestre</f>
        <v>0</v>
      </c>
      <c r="BH12" s="167">
        <f>Datos!BQ12/factor_trimestre</f>
        <v>0</v>
      </c>
      <c r="BI12" s="167">
        <f>Datos!BR12/factor_trimestre</f>
        <v>0</v>
      </c>
      <c r="BJ12" s="167">
        <f>Datos!BS12/factor_trimestre</f>
        <v>0</v>
      </c>
      <c r="BK12" s="167">
        <f>Datos!BT12/factor_trimestre</f>
        <v>0</v>
      </c>
      <c r="BL12" s="167">
        <f>Datos!BU12/factor_trimestre</f>
        <v>0</v>
      </c>
    </row>
    <row r="13" spans="1:64" ht="15" thickBot="1">
      <c r="A13" s="190">
        <f>Datos!AO13</f>
        <v>0</v>
      </c>
      <c r="B13" s="300" t="s">
        <v>324</v>
      </c>
      <c r="C13" s="7" t="str">
        <f>Datos!A13</f>
        <v xml:space="preserve">Jdos. de Menores    </v>
      </c>
      <c r="D13" s="7"/>
      <c r="E13" s="290">
        <f>IF(ISNUMBER(Datos!AQ13),Datos!AQ13," - ")</f>
        <v>0</v>
      </c>
      <c r="F13" s="239" t="str">
        <f>IF(ISNUMBER(Datos!L13+Datos!K13-Datos!J13-K13),Datos!L13+Datos!K13-Datos!J13-K13," - ")</f>
        <v xml:space="preserve"> - </v>
      </c>
      <c r="G13" s="373" t="str">
        <f>IF(ISNUMBER(Datos!I13),Datos!I13," - ")</f>
        <v xml:space="preserve"> - </v>
      </c>
      <c r="H13" s="239" t="str">
        <f>IF(ISNUMBER(Datos!DB13),Datos!DB13," - ")</f>
        <v xml:space="preserve"> - </v>
      </c>
      <c r="I13" s="240" t="str">
        <f>IF(ISNUMBER(Datos!DC13),Datos!DC13," - ")</f>
        <v xml:space="preserve"> - </v>
      </c>
      <c r="J13" s="240" t="str">
        <f>IF(ISNUMBER(Datos!DD13),Datos!DD13," - ")</f>
        <v xml:space="preserve"> - </v>
      </c>
      <c r="K13" s="240">
        <f>IF(ISNUMBER(Datos!DF13),Datos!DF13,0)</f>
        <v>0</v>
      </c>
      <c r="L13" s="240">
        <f>IF(ISNUMBER(Datos!P13),Datos!P13,0)</f>
        <v>0</v>
      </c>
      <c r="M13" s="240" t="str">
        <f>IF(ISNUMBER(Datos!DE13),Datos!DE13," - ")</f>
        <v xml:space="preserve"> - </v>
      </c>
      <c r="N13" s="240" t="str">
        <f>IF(ISNUMBER(H13+L13),H13+L13," - ")</f>
        <v xml:space="preserve"> - </v>
      </c>
      <c r="O13" s="374"/>
      <c r="P13" s="379" t="str">
        <f t="shared" ref="P13" si="3">IF(ISNUMBER((N13)/((BK13+BL13)/2)),(N13)/((BK13+BL13)/2)," - ")</f>
        <v xml:space="preserve"> - </v>
      </c>
      <c r="Q13" s="379" t="str">
        <f>IF(ISNUMBER((N13)/((BK13+BL13)/2)),(N13)/((BK13+BL13)/2)," - ")</f>
        <v xml:space="preserve"> - </v>
      </c>
      <c r="R13" s="241" t="str">
        <f>IF(ISNUMBER(Datos!CB13),Datos!CB13," - ")</f>
        <v xml:space="preserve"> - </v>
      </c>
      <c r="S13" s="239" t="str">
        <f>IF(ISNUMBER(Datos!BY13),Datos!BY13," - ")</f>
        <v xml:space="preserve"> - </v>
      </c>
      <c r="T13" s="379" t="str">
        <f>IF(ISNUMBER((S13*factor_trimestre)/DatosB!CN13),(S13*factor_trimestre)/DatosB!CN13,"-")</f>
        <v>-</v>
      </c>
      <c r="U13" s="324"/>
      <c r="V13" s="379">
        <f>IF(ISNUMBER((U13*factor_trimestre)/DatosB!CN13),(U13*factor_trimestre)/DatosB!CN13,"-")</f>
        <v>0</v>
      </c>
      <c r="W13" s="239" t="str">
        <f>IF(ISNUMBER(Datos!K13),Datos!K13," - ")</f>
        <v xml:space="preserve"> - </v>
      </c>
      <c r="X13" s="240" t="str">
        <f>IF(ISNUMBER(Datos!Q13),Datos!Q13," - ")</f>
        <v xml:space="preserve"> - </v>
      </c>
      <c r="Y13" s="374">
        <f t="shared" si="0"/>
        <v>0</v>
      </c>
      <c r="Z13" s="375" t="str">
        <f>IF(ISNUMBER(Datos!CC13),Datos!CC13," - ")</f>
        <v xml:space="preserve"> - </v>
      </c>
      <c r="AA13" s="372" t="str">
        <f>IF(ISNUMBER(Datos!L13),Datos!L13,"-")</f>
        <v>-</v>
      </c>
      <c r="AB13" s="374" t="str">
        <f>IF(ISNUMBER(Datos!R13),Datos!R13," - ")</f>
        <v xml:space="preserve"> - </v>
      </c>
      <c r="AC13" s="374" t="str">
        <f t="shared" si="1"/>
        <v xml:space="preserve"> - </v>
      </c>
      <c r="AD13" s="375" t="str">
        <f>IF(ISNUMBER(Datos!CD13),Datos!CD13," - ")</f>
        <v xml:space="preserve"> - </v>
      </c>
      <c r="AE13" s="243" t="str">
        <f>IF(ISNUMBER(Datos!BV13),Datos!BV13," - ")</f>
        <v xml:space="preserve"> - </v>
      </c>
      <c r="AF13" s="239" t="str">
        <f>IF(ISNUMBER(Datos!CK13),Datos!CK13," - ")</f>
        <v xml:space="preserve"> - </v>
      </c>
      <c r="AG13" s="324" t="str">
        <f>IF(ISNUMBER(Datos!CL13),Datos!CL13," - ")</f>
        <v xml:space="preserve"> - </v>
      </c>
      <c r="AH13" s="241" t="str">
        <f>IF(ISNUMBER(Datos!CM13),Datos!CM13," - ")</f>
        <v xml:space="preserve"> - </v>
      </c>
      <c r="AI13" s="239" t="str">
        <f>IF(ISNUMBER(Datos!M13),Datos!M13," - ")</f>
        <v xml:space="preserve"> - </v>
      </c>
      <c r="AJ13" s="245" t="str">
        <f>IF(ISNUMBER(Datos!BW13),Datos!BW13," - ")</f>
        <v xml:space="preserve"> - </v>
      </c>
      <c r="AK13" s="246" t="str">
        <f>IF(ISNUMBER(Datos!BX13),Datos!BX13," - ")</f>
        <v xml:space="preserve"> - </v>
      </c>
      <c r="AL13" s="266" t="str">
        <f>IF(ISNUMBER(NºAsuntos!G13/NºAsuntos!E13),NºAsuntos!G13/NºAsuntos!E13," - ")</f>
        <v xml:space="preserve"> - </v>
      </c>
      <c r="AM13" s="284" t="str">
        <f>IF(ISNUMBER(((NºAsuntos!I13/NºAsuntos!G13)*11)/factor_trimestre),((NºAsuntos!I13/NºAsuntos!G13)*11)/factor_trimestre," - ")</f>
        <v xml:space="preserve"> - </v>
      </c>
      <c r="AN13" s="267" t="str">
        <f>IF(ISNUMBER('Resol  Asuntos'!D13/NºAsuntos!G13),'Resol  Asuntos'!D13/NºAsuntos!G13," - ")</f>
        <v xml:space="preserve"> - </v>
      </c>
      <c r="AO13" s="268" t="str">
        <f>IF(ISNUMBER((NºAsuntos!C13+NºAsuntos!E13)/NºAsuntos!G13),(NºAsuntos!C13+NºAsuntos!E13)/NºAsuntos!G13," - ")</f>
        <v xml:space="preserve"> - </v>
      </c>
      <c r="AP13" s="244" t="str">
        <f t="shared" si="2"/>
        <v xml:space="preserve"> - </v>
      </c>
      <c r="AQ13" s="244" t="str">
        <f t="shared" ref="AQ13" si="4">IF(ISNUMBER((H13-W13+K13)/(F13)),(H13-W13+K13)/(F13)," - ")</f>
        <v xml:space="preserve"> - </v>
      </c>
      <c r="AR13" s="332" t="str">
        <f>IF(ISNUMBER((Datos!P13-Datos!Q13+M13)/(Datos!R13-Datos!P13+Datos!Q13-M13)),(Datos!P13-Datos!Q13+M13)/(Datos!R13-Datos!P13+Datos!Q13-M13)," - ")</f>
        <v xml:space="preserve"> - </v>
      </c>
      <c r="AS13" s="290" t="str">
        <f>IF(ISNUMBER(Datos!CS13),Datos!CS13," - ")</f>
        <v xml:space="preserve"> - </v>
      </c>
      <c r="AT13" s="290" t="str">
        <f>IF(ISNUMBER(Datos!CI13),Datos!CI13," - ")</f>
        <v xml:space="preserve"> - </v>
      </c>
      <c r="AU13" s="290" t="str">
        <f>IF(ISNUMBER(Datos!CJ13),Datos!CJ13," - ")</f>
        <v xml:space="preserve"> - </v>
      </c>
      <c r="AV13" s="290" t="str">
        <f>IF(ISNUMBER(Datos!CW13),Datos!CW13," - ")</f>
        <v xml:space="preserve"> - </v>
      </c>
      <c r="AW13" s="290">
        <f>IF(ISNUMBER(Datos!CX13)," - ",Datos!CX13)</f>
        <v>0</v>
      </c>
      <c r="AX13" s="290" t="str">
        <f>IF(ISNUMBER(Datos!EO13),Datos!EO13," - ")</f>
        <v xml:space="preserve"> - </v>
      </c>
      <c r="AY13" s="1327" t="e">
        <f>(AX13/Datos!ER13)*factor_trimestre</f>
        <v>#VALUE!</v>
      </c>
      <c r="BE13" s="167">
        <f>Datos!BN13/factor_trimestre</f>
        <v>0</v>
      </c>
      <c r="BF13" s="167">
        <f>Datos!BO13/factor_trimestre</f>
        <v>0</v>
      </c>
      <c r="BG13" s="167">
        <f>Datos!BP13/factor_trimestre</f>
        <v>0</v>
      </c>
      <c r="BH13" s="167">
        <f>Datos!BQ13/factor_trimestre</f>
        <v>0</v>
      </c>
      <c r="BI13" s="167">
        <f>Datos!BR13/factor_trimestre</f>
        <v>0</v>
      </c>
      <c r="BJ13" s="167">
        <f>Datos!BS13/factor_trimestre</f>
        <v>0</v>
      </c>
      <c r="BK13" s="167">
        <f>Datos!BT13/factor_trimestre</f>
        <v>0</v>
      </c>
      <c r="BL13" s="167">
        <f>Datos!BU13/factor_trimestre</f>
        <v>0</v>
      </c>
    </row>
    <row r="14" spans="1:64" ht="15.75" thickTop="1" thickBot="1">
      <c r="A14" s="191"/>
      <c r="B14" s="191"/>
      <c r="C14" s="1163" t="str">
        <f>Datos!A14</f>
        <v>TOTAL</v>
      </c>
      <c r="D14" s="1163"/>
      <c r="E14" s="1164">
        <f t="shared" ref="E14:O14" si="5">SUBTOTAL(9,E8:E13)</f>
        <v>24</v>
      </c>
      <c r="F14" s="1165">
        <f t="shared" si="5"/>
        <v>265</v>
      </c>
      <c r="G14" s="1166">
        <f t="shared" si="5"/>
        <v>260</v>
      </c>
      <c r="H14" s="1165">
        <f t="shared" si="5"/>
        <v>0</v>
      </c>
      <c r="I14" s="1167">
        <f t="shared" si="5"/>
        <v>0</v>
      </c>
      <c r="J14" s="1167">
        <f t="shared" si="5"/>
        <v>0</v>
      </c>
      <c r="K14" s="1167">
        <f t="shared" si="5"/>
        <v>0</v>
      </c>
      <c r="L14" s="1167">
        <f t="shared" si="5"/>
        <v>7702</v>
      </c>
      <c r="M14" s="1167">
        <f t="shared" si="5"/>
        <v>0</v>
      </c>
      <c r="N14" s="1167">
        <f t="shared" si="5"/>
        <v>0</v>
      </c>
      <c r="O14" s="1168" t="e">
        <f t="shared" ca="1" si="5"/>
        <v>#VALUE!</v>
      </c>
      <c r="P14" s="1168"/>
      <c r="Q14" s="1169" t="str">
        <f>IF(ISNUMBER((N14*factor_trimestre)/((Datos!BT14+Datos!BU14)/2)),(N14*factor_trimestre)/((Datos!BT14+Datos!BU14)/2)," - ")</f>
        <v xml:space="preserve"> - </v>
      </c>
      <c r="R14" s="1170">
        <f>SUBTOTAL(9,R8:R13)</f>
        <v>0</v>
      </c>
      <c r="S14" s="1165">
        <f>SUBTOTAL(9,S8:S13)</f>
        <v>0</v>
      </c>
      <c r="T14" s="1171" t="str">
        <f>IF(ISNUMBER((S14*factor_trimestre)/DatosB!BM14),(S14*factor_trimestre)/DatosB!BM14,"-")</f>
        <v>-</v>
      </c>
      <c r="U14" s="1165" t="e">
        <f ca="1">SUBTOTAL(9,U8:U13)</f>
        <v>#VALUE!</v>
      </c>
      <c r="V14" s="1171" t="str">
        <f ca="1">IF(ISNUMBER((U14*factor_trimestre)/DatosB!CN14),(U14*factor_trimestre)/DatosB!CN14,"-")</f>
        <v>-</v>
      </c>
      <c r="W14" s="1167">
        <f t="shared" ref="W14:AJ14" si="6">SUBTOTAL(9,W8:W13)</f>
        <v>532</v>
      </c>
      <c r="X14" s="1167">
        <f t="shared" si="6"/>
        <v>10112</v>
      </c>
      <c r="Y14" s="1168">
        <f t="shared" si="6"/>
        <v>10644</v>
      </c>
      <c r="Z14" s="1168">
        <f t="shared" si="6"/>
        <v>0</v>
      </c>
      <c r="AA14" s="1168">
        <f t="shared" si="6"/>
        <v>204</v>
      </c>
      <c r="AB14" s="1168">
        <f t="shared" si="6"/>
        <v>24402</v>
      </c>
      <c r="AC14" s="1168">
        <f t="shared" si="6"/>
        <v>489</v>
      </c>
      <c r="AD14" s="1168">
        <f t="shared" si="6"/>
        <v>0</v>
      </c>
      <c r="AE14" s="1172">
        <f t="shared" si="6"/>
        <v>0</v>
      </c>
      <c r="AF14" s="1165">
        <f t="shared" si="6"/>
        <v>0</v>
      </c>
      <c r="AG14" s="1173">
        <f t="shared" si="6"/>
        <v>0</v>
      </c>
      <c r="AH14" s="1170">
        <f t="shared" si="6"/>
        <v>0</v>
      </c>
      <c r="AI14" s="1165">
        <f t="shared" si="6"/>
        <v>11947</v>
      </c>
      <c r="AJ14" s="1167">
        <f t="shared" si="6"/>
        <v>0</v>
      </c>
      <c r="AK14" s="1170">
        <f>SUBTOTAL(9,AK9:AK13)</f>
        <v>0</v>
      </c>
      <c r="AL14" s="1174">
        <f>IF(ISNUMBER(NºAsuntos!G14/NºAsuntos!E14),NºAsuntos!G14/NºAsuntos!E14," - ")</f>
        <v>1.0370073143328824</v>
      </c>
      <c r="AM14" s="1174">
        <f>IF(ISNUMBER(((NºAsuntos!I14/NºAsuntos!G14)*11)/factor_trimestre),((NºAsuntos!I14/NºAsuntos!G14)*11)/factor_trimestre," - ")</f>
        <v>6.504853295597762</v>
      </c>
      <c r="AN14" s="1175">
        <f>IF(ISNUMBER('Resol  Asuntos'!D14/NºAsuntos!G14),'Resol  Asuntos'!D14/NºAsuntos!G14," - ")</f>
        <v>0.26415636677206095</v>
      </c>
      <c r="AO14" s="1176">
        <f>IF(ISNUMBER((NºAsuntos!C14+NºAsuntos!E14)/NºAsuntos!G14),(NºAsuntos!C14+NºAsuntos!E14)/NºAsuntos!G14," - ")</f>
        <v>1.5520817210958056</v>
      </c>
      <c r="AP14" s="1177" t="str">
        <f t="shared" si="2"/>
        <v xml:space="preserve"> - </v>
      </c>
      <c r="AQ14" s="1177">
        <f>IF(ISNUMBER((H14-W14+K14)/(F14)),(H14-W14+K14)/(F14)," - ")</f>
        <v>-2.0075471698113208</v>
      </c>
      <c r="AR14" s="1178">
        <f>IF(ISNUMBER((Datos!P14-Datos!Q14)/(Datos!R14-Datos!P14+Datos!Q14)),(Datos!P14-Datos!Q14)/(Datos!R14-Datos!P14+Datos!Q14)," - ")</f>
        <v>-8.9885126062956885E-2</v>
      </c>
      <c r="AS14" s="1164">
        <f>SUBTOTAL(9,AS8:AS13)</f>
        <v>0</v>
      </c>
      <c r="AT14" s="1164">
        <f>SUBTOTAL(9,AT8:AT13)</f>
        <v>0</v>
      </c>
      <c r="AU14" s="1164">
        <f>SUBTOTAL(9,AU8:AU13)</f>
        <v>0</v>
      </c>
      <c r="AV14" s="1164">
        <f>SUBTOTAL(9,AV8:AV13)</f>
        <v>0</v>
      </c>
      <c r="AW14" s="1179"/>
      <c r="AX14" s="1167">
        <f>SUBTOTAL(9,AX8:AX13)</f>
        <v>0</v>
      </c>
      <c r="AY14" s="1328" t="e">
        <f>SUBTOTAL(9,AY8:AY13)</f>
        <v>#VALUE!</v>
      </c>
      <c r="BE14" s="164">
        <f t="shared" ref="BE14:BL14" si="7">SUM(BE8:BE13)</f>
        <v>0</v>
      </c>
      <c r="BF14" s="164">
        <f t="shared" si="7"/>
        <v>0</v>
      </c>
      <c r="BG14" s="164">
        <f t="shared" si="7"/>
        <v>0</v>
      </c>
      <c r="BH14" s="164">
        <f t="shared" si="7"/>
        <v>0</v>
      </c>
      <c r="BI14" s="164">
        <f t="shared" si="7"/>
        <v>0</v>
      </c>
      <c r="BJ14" s="164">
        <f t="shared" si="7"/>
        <v>0</v>
      </c>
      <c r="BK14" s="164">
        <f t="shared" si="7"/>
        <v>0</v>
      </c>
      <c r="BL14" s="164">
        <f t="shared" si="7"/>
        <v>0</v>
      </c>
    </row>
    <row r="15" spans="1:64" ht="15" thickTop="1">
      <c r="A15" s="192"/>
      <c r="B15" s="192"/>
      <c r="C15" s="311" t="str">
        <f>Datos!A15</f>
        <v xml:space="preserve">Jurisdicción Penal ( 2 ):                      </v>
      </c>
      <c r="D15" s="311"/>
      <c r="E15" s="312"/>
      <c r="F15" s="249"/>
      <c r="G15" s="249"/>
      <c r="H15" s="230"/>
      <c r="I15" s="231"/>
      <c r="J15" s="231"/>
      <c r="K15" s="231"/>
      <c r="L15" s="231"/>
      <c r="M15" s="231"/>
      <c r="N15" s="231"/>
      <c r="O15" s="231"/>
      <c r="P15" s="231"/>
      <c r="Q15" s="388"/>
      <c r="R15" s="231"/>
      <c r="S15" s="292"/>
      <c r="T15" s="388"/>
      <c r="U15" s="306"/>
      <c r="V15" s="389"/>
      <c r="W15" s="230"/>
      <c r="X15" s="231"/>
      <c r="Y15" s="231"/>
      <c r="Z15" s="231"/>
      <c r="AA15" s="230"/>
      <c r="AB15" s="231"/>
      <c r="AC15" s="231"/>
      <c r="AD15" s="231"/>
      <c r="AE15" s="376"/>
      <c r="AF15" s="249"/>
      <c r="AG15" s="251"/>
      <c r="AH15" s="252"/>
      <c r="AI15" s="249"/>
      <c r="AJ15" s="249"/>
      <c r="AK15" s="252"/>
      <c r="AL15" s="292"/>
      <c r="AM15" s="306"/>
      <c r="AN15" s="306"/>
      <c r="AO15" s="256"/>
      <c r="AP15" s="312"/>
      <c r="AQ15" s="312"/>
      <c r="AR15" s="333"/>
      <c r="AS15" s="339"/>
      <c r="AT15" s="312"/>
      <c r="AU15" s="312"/>
      <c r="AV15" s="312"/>
      <c r="AW15" s="326"/>
      <c r="AX15" s="326"/>
      <c r="AY15" s="1329"/>
      <c r="BE15" s="165"/>
      <c r="BF15" s="165"/>
      <c r="BG15" s="165"/>
      <c r="BH15" s="165"/>
      <c r="BI15" s="165"/>
      <c r="BJ15" s="165"/>
      <c r="BK15" s="165"/>
      <c r="BL15" s="165"/>
    </row>
    <row r="16" spans="1:64" ht="14.25">
      <c r="A16" s="190">
        <f>Datos!AO16</f>
        <v>14</v>
      </c>
      <c r="B16" s="300" t="s">
        <v>515</v>
      </c>
      <c r="C16" s="173" t="str">
        <f>Datos!A16</f>
        <v xml:space="preserve">Jdos. Instrucción                               </v>
      </c>
      <c r="D16" s="173"/>
      <c r="E16" s="290">
        <f>IF(ISNUMBER(Datos!AQ16),Datos!AQ16," - ")</f>
        <v>14</v>
      </c>
      <c r="F16" s="239">
        <f>IF(ISNUMBER(AA16+W16-Datos!J16-K16),AA16+W16-Datos!J16-K16," - ")</f>
        <v>6112</v>
      </c>
      <c r="G16" s="373">
        <f>IF(ISNUMBER(IF(D_I="SI",Datos!I16,Datos!I16+Datos!AC16)),IF(D_I="SI",Datos!I16,Datos!I16+Datos!AC16)," - ")</f>
        <v>5463</v>
      </c>
      <c r="H16" s="239" t="str">
        <f>IF(ISNUMBER(Datos!DB16),Datos!DB16," - ")</f>
        <v xml:space="preserve"> - </v>
      </c>
      <c r="I16" s="240" t="str">
        <f>IF(ISNUMBER(Datos!DC16),Datos!DC16," - ")</f>
        <v xml:space="preserve"> - </v>
      </c>
      <c r="J16" s="240" t="str">
        <f>IF(ISNUMBER(Datos!DD16),Datos!DD16," - ")</f>
        <v xml:space="preserve"> - </v>
      </c>
      <c r="K16" s="240">
        <f>IF(ISNUMBER(Datos!DF16),Datos!DF16,0)</f>
        <v>0</v>
      </c>
      <c r="L16" s="240">
        <f>IF(ISNUMBER(Datos!P16),Datos!P16,0)</f>
        <v>1971</v>
      </c>
      <c r="M16" s="240" t="str">
        <f>IF(ISNUMBER(Datos!DE16),Datos!DE16," - ")</f>
        <v xml:space="preserve"> - </v>
      </c>
      <c r="N16" s="240" t="str">
        <f>IF(ISNUMBER(H16),H16," - ")</f>
        <v xml:space="preserve"> - </v>
      </c>
      <c r="O16" s="374"/>
      <c r="P16" s="379" t="str">
        <f>IF(ISNUMBER((N16)/((BK16+BL16)/2)),(N16)/((BK16+BL16)/2)," - ")</f>
        <v xml:space="preserve"> - </v>
      </c>
      <c r="Q16" s="379" t="str">
        <f>IF(ISNUMBER((N16)/((BK16+BL16)/2)),(N16)/((BK16+BL16)/2)," - ")</f>
        <v xml:space="preserve"> - </v>
      </c>
      <c r="R16" s="241" t="str">
        <f>IF(ISNUMBER(Datos!CB16),Datos!CB16," - ")</f>
        <v xml:space="preserve"> - </v>
      </c>
      <c r="S16" s="239">
        <f>IF(ISNUMBER(Datos!BY16+Datos!BZ16*1.16),Datos!BY16+Datos!BZ16*1.16," - ")</f>
        <v>0</v>
      </c>
      <c r="T16" s="379">
        <f>IF(ISNUMBER((S16*factor_trimestre)/DatosB!CN16),(S16*factor_trimestre)/DatosB!CN16,"-")</f>
        <v>0</v>
      </c>
      <c r="U16" s="324"/>
      <c r="V16" s="379">
        <f>IF(ISNUMBER((U16*factor_trimestre)/DatosB!CN16),(U16*factor_trimestre)/DatosB!CN16,"-")</f>
        <v>0</v>
      </c>
      <c r="W16" s="239">
        <f>IF(ISNUMBER(IF(D_I="SI",Datos!K16,Datos!K16+Datos!AE16)),IF(D_I="SI",Datos!K16,Datos!K16+Datos!AE16)," - ")</f>
        <v>71221</v>
      </c>
      <c r="X16" s="240">
        <f>IF(ISNUMBER(Datos!Q16),Datos!Q16," - ")</f>
        <v>1980</v>
      </c>
      <c r="Y16" s="374">
        <f>SUM(W16)</f>
        <v>71221</v>
      </c>
      <c r="Z16" s="375" t="str">
        <f>IF(ISNUMBER(Datos!CC16),Datos!CC16," - ")</f>
        <v xml:space="preserve"> - </v>
      </c>
      <c r="AA16" s="372">
        <f>IF(ISNUMBER(IF(D_I="SI",Datos!L16,Datos!L16+Datos!AF16)),IF(D_I="SI",Datos!L16,Datos!L16+Datos!AF16)," - ")</f>
        <v>5067</v>
      </c>
      <c r="AB16" s="374">
        <f>IF(ISNUMBER(Datos!R16),Datos!R16," - ")</f>
        <v>1106</v>
      </c>
      <c r="AC16" s="374">
        <f t="shared" ref="AC16:AC22" si="8">IF(ISNUMBER(AA16+AB16),AA16+AB16," - ")</f>
        <v>6173</v>
      </c>
      <c r="AD16" s="375" t="str">
        <f>IF(ISNUMBER(Datos!CD16),Datos!CD16," - ")</f>
        <v xml:space="preserve"> - </v>
      </c>
      <c r="AE16" s="243" t="str">
        <f>IF(ISNUMBER(Datos!BV16),Datos!BV16," - ")</f>
        <v xml:space="preserve"> - </v>
      </c>
      <c r="AF16" s="239" t="str">
        <f>IF(ISNUMBER(Datos!CK16),Datos!CK16," - ")</f>
        <v xml:space="preserve"> - </v>
      </c>
      <c r="AG16" s="324" t="str">
        <f>IF(ISNUMBER(Datos!CL16),Datos!CL16," - ")</f>
        <v xml:space="preserve"> - </v>
      </c>
      <c r="AH16" s="241" t="str">
        <f>IF(ISNUMBER(Datos!CM16),Datos!CM16," - ")</f>
        <v xml:space="preserve"> - </v>
      </c>
      <c r="AI16" s="239">
        <f>IF(ISNUMBER(Datos!M16),Datos!M16," - ")</f>
        <v>5659</v>
      </c>
      <c r="AJ16" s="245" t="str">
        <f>IF(ISNUMBER(Datos!BW16),Datos!BW16," - ")</f>
        <v xml:space="preserve"> - </v>
      </c>
      <c r="AK16" s="246" t="str">
        <f>IF(ISNUMBER(Datos!BX16),Datos!BX16," - ")</f>
        <v xml:space="preserve"> - </v>
      </c>
      <c r="AL16" s="266">
        <f>IF(ISNUMBER(NºAsuntos!G16/NºAsuntos!E16),NºAsuntos!G16/NºAsuntos!E16," - ")</f>
        <v>1.014891130870953</v>
      </c>
      <c r="AM16" s="284">
        <f>IF(ISNUMBER(((NºAsuntos!I16/NºAsuntos!G16)*11)/factor_trimestre),((NºAsuntos!I16/NºAsuntos!G16)*11)/factor_trimestre," - ")</f>
        <v>0.78259221297089343</v>
      </c>
      <c r="AN16" s="267">
        <f>IF(ISNUMBER('Resol  Asuntos'!D16/NºAsuntos!G16),'Resol  Asuntos'!D16/NºAsuntos!G16," - ")</f>
        <v>7.9456901756504397E-2</v>
      </c>
      <c r="AO16" s="268">
        <f>IF(ISNUMBER((NºAsuntos!C16+NºAsuntos!E16)/NºAsuntos!G16),(NºAsuntos!C16+NºAsuntos!E16)/NºAsuntos!G16," - ")</f>
        <v>1.0620322657643111</v>
      </c>
      <c r="AP16" s="244" t="str">
        <f t="shared" si="2"/>
        <v xml:space="preserve"> - </v>
      </c>
      <c r="AQ16" s="244" t="str">
        <f>IF(ISNUMBER((I16-W16+K16)/(F16)),(I16-W16+K16)/(F16)," - ")</f>
        <v xml:space="preserve"> - </v>
      </c>
      <c r="AR16" s="332" t="str">
        <f>IF(ISNUMBER((Datos!P16-Datos!Q16+M16)/(Datos!R16-Datos!P16+Datos!Q16-M16)),(Datos!P16-Datos!Q16+M16)/(Datos!R16-Datos!P16+Datos!Q16-M16)," - ")</f>
        <v xml:space="preserve"> - </v>
      </c>
      <c r="AS16" s="290" t="str">
        <f>IF(ISNUMBER(Datos!CS16),Datos!CS16," - ")</f>
        <v xml:space="preserve"> - </v>
      </c>
      <c r="AT16" s="290" t="str">
        <f>IF(ISNUMBER(Datos!CI16),Datos!CI16," - ")</f>
        <v xml:space="preserve"> - </v>
      </c>
      <c r="AU16" s="290" t="str">
        <f>IF(ISNUMBER(Datos!CJ16),Datos!CJ16," - ")</f>
        <v xml:space="preserve"> - </v>
      </c>
      <c r="AV16" s="290" t="str">
        <f>IF(ISNUMBER(Datos!CW16),Datos!CW16," - ")</f>
        <v xml:space="preserve"> - </v>
      </c>
      <c r="AW16" s="290">
        <f>IF(ISNUMBER(Datos!CX16)," - ",Datos!CX16)</f>
        <v>0</v>
      </c>
      <c r="AX16" s="290" t="str">
        <f>IF(ISNUMBER(Datos!ET16),Datos!ET16," - ")</f>
        <v xml:space="preserve"> - </v>
      </c>
      <c r="AY16" s="1327" t="e">
        <f>(AX16/Datos!ER16)*factor_trimestre</f>
        <v>#VALUE!</v>
      </c>
      <c r="BE16" s="167">
        <f>Datos!BN16/factor_trimestre</f>
        <v>0</v>
      </c>
      <c r="BF16" s="167">
        <f>Datos!BO16/factor_trimestre</f>
        <v>0</v>
      </c>
      <c r="BG16" s="167">
        <f>Datos!BP16/factor_trimestre</f>
        <v>0</v>
      </c>
      <c r="BH16" s="167">
        <f>Datos!BQ16/factor_trimestre</f>
        <v>0</v>
      </c>
      <c r="BI16" s="167">
        <f>Datos!BR16/factor_trimestre</f>
        <v>0</v>
      </c>
      <c r="BJ16" s="167">
        <f>Datos!BS16/factor_trimestre</f>
        <v>0</v>
      </c>
      <c r="BK16" s="167">
        <f>Datos!BT16/factor_trimestre</f>
        <v>0</v>
      </c>
      <c r="BL16" s="167">
        <f>Datos!BU16/factor_trimestre</f>
        <v>0</v>
      </c>
    </row>
    <row r="17" spans="1:64" ht="14.25">
      <c r="A17" s="190">
        <f>Datos!AO17</f>
        <v>0</v>
      </c>
      <c r="B17" s="300" t="s">
        <v>515</v>
      </c>
      <c r="C17" s="173" t="str">
        <f>Datos!A17</f>
        <v xml:space="preserve">Jdos. 1ª Instª. e Instr.                        </v>
      </c>
      <c r="D17" s="173"/>
      <c r="E17" s="290">
        <f>IF(ISNUMBER(Datos!AQ17),Datos!AQ17," - ")</f>
        <v>0</v>
      </c>
      <c r="F17" s="239" t="str">
        <f>IF(ISNUMBER(AA17+W17-Datos!J17-K17),AA17+W17-Datos!J17-K17," - ")</f>
        <v xml:space="preserve"> - </v>
      </c>
      <c r="G17" s="373" t="str">
        <f>IF(ISNUMBER(IF(D_I="SI",Datos!I17,Datos!I17+Datos!AC17)),IF(D_I="SI",Datos!I17,Datos!I17+Datos!AC17)," - ")</f>
        <v xml:space="preserve"> - </v>
      </c>
      <c r="H17" s="239" t="str">
        <f>IF(ISNUMBER(Datos!DB17),Datos!DB17," - ")</f>
        <v xml:space="preserve"> - </v>
      </c>
      <c r="I17" s="240" t="str">
        <f>IF(ISNUMBER(Datos!DC17),Datos!DC17," - ")</f>
        <v xml:space="preserve"> - </v>
      </c>
      <c r="J17" s="240" t="str">
        <f>IF(ISNUMBER(Datos!DD17),Datos!DD17," - ")</f>
        <v xml:space="preserve"> - </v>
      </c>
      <c r="K17" s="240">
        <f>IF(ISNUMBER(Datos!DF17),Datos!DF17,0)</f>
        <v>0</v>
      </c>
      <c r="L17" s="240">
        <f>IF(ISNUMBER(Datos!P17),Datos!P17,0)</f>
        <v>0</v>
      </c>
      <c r="M17" s="240" t="str">
        <f>IF(ISNUMBER(Datos!DE17),Datos!DE17," - ")</f>
        <v xml:space="preserve"> - </v>
      </c>
      <c r="N17" s="240" t="str">
        <f>IF(ISNUMBER(H17),H17," - ")</f>
        <v xml:space="preserve"> - </v>
      </c>
      <c r="O17" s="344" t="e">
        <f ca="1">IF(ISNUMBER(INDIRECT("N"&amp;ROW()+salto-1)),N17+(INDIRECT("N"&amp;ROW()+salto-1))/9.15,N17/9.15+(INDIRECT("N"&amp;ROW()-salto+1)))</f>
        <v>#VALUE!</v>
      </c>
      <c r="P17" s="379" t="str">
        <f>IF(ISNUMBER((N17)/((BE17+BF17)/2)),(N17)/((BE17+BF17)/2)," - ")</f>
        <v xml:space="preserve"> - </v>
      </c>
      <c r="Q17" s="379" t="str">
        <f>IF(jurisdiccion="Jurisdicción Civil y Penal",IF(ISNUMBER((O17)/((BK17+BL17)/2)),(O17)/((BK17+BL17)/2)," - "),IF(ISNUMBER((N17)/((BE17+BF17)/2)),(N17)/((BE17+BF17)/2)," - "))</f>
        <v xml:space="preserve"> - </v>
      </c>
      <c r="R17" s="241" t="str">
        <f>IF(ISNUMBER(Datos!CB17),Datos!CB17," - ")</f>
        <v xml:space="preserve"> - </v>
      </c>
      <c r="S17" s="239" t="str">
        <f>IF(ISNUMBER(Datos!BY17),Datos!BY17," - ")</f>
        <v xml:space="preserve"> - </v>
      </c>
      <c r="T17" s="379" t="str">
        <f>IF(ISNUMBER((S17*factor_trimestre)/DatosB!CN17),(S17*factor_trimestre)/DatosB!CN17,"-")</f>
        <v>-</v>
      </c>
      <c r="U17" s="154" t="e">
        <f ca="1">IF(ISNUMBER(INDIRECT("S"&amp;ROW()+salto-1)),S17+(INDIRECT("S"&amp;ROW()+salto-1)),S17+(INDIRECT("S"&amp;ROW()-salto+1)))</f>
        <v>#VALUE!</v>
      </c>
      <c r="V17" s="379" t="str">
        <f ca="1">IF(ISNUMBER((U17*factor_trimestre)/DatosB!CN17),(U17*factor_trimestre)/DatosB!CN17,"-")</f>
        <v>-</v>
      </c>
      <c r="W17" s="239" t="str">
        <f>IF(ISNUMBER(IF(D_I="SI",Datos!K17,Datos!K17+Datos!AE17)),IF(D_I="SI",Datos!K17,Datos!K17+Datos!AE17)," - ")</f>
        <v xml:space="preserve"> - </v>
      </c>
      <c r="X17" s="240" t="str">
        <f>IF(ISNUMBER(Datos!Q17),Datos!Q17," - ")</f>
        <v xml:space="preserve"> - </v>
      </c>
      <c r="Y17" s="374">
        <f t="shared" ref="Y17:Y22" si="9">SUM(W17:X17)</f>
        <v>0</v>
      </c>
      <c r="Z17" s="375" t="str">
        <f>IF(ISNUMBER(Datos!CC17),Datos!CC17," - ")</f>
        <v xml:space="preserve"> - </v>
      </c>
      <c r="AA17" s="372" t="str">
        <f>IF(ISNUMBER(IF(D_I="SI",Datos!L17,Datos!L17+Datos!AF17)),IF(D_I="SI",Datos!L17,Datos!L17+Datos!AF17)," - ")</f>
        <v xml:space="preserve"> - </v>
      </c>
      <c r="AB17" s="374" t="str">
        <f>IF(ISNUMBER(Datos!R17),Datos!R17," - ")</f>
        <v xml:space="preserve"> - </v>
      </c>
      <c r="AC17" s="374" t="str">
        <f t="shared" si="8"/>
        <v xml:space="preserve"> - </v>
      </c>
      <c r="AD17" s="375" t="str">
        <f>IF(ISNUMBER(Datos!CD17),Datos!CD17," - ")</f>
        <v xml:space="preserve"> - </v>
      </c>
      <c r="AE17" s="243" t="str">
        <f>IF(ISNUMBER(Datos!BV17),Datos!BV17," - ")</f>
        <v xml:space="preserve"> - </v>
      </c>
      <c r="AF17" s="239" t="str">
        <f>IF(ISNUMBER(Datos!CK17),Datos!CK17," - ")</f>
        <v xml:space="preserve"> - </v>
      </c>
      <c r="AG17" s="324" t="str">
        <f>IF(ISNUMBER(Datos!CL17),Datos!CL17," - ")</f>
        <v xml:space="preserve"> - </v>
      </c>
      <c r="AH17" s="241" t="str">
        <f>IF(ISNUMBER(Datos!CM17),Datos!CM17," - ")</f>
        <v xml:space="preserve"> - </v>
      </c>
      <c r="AI17" s="239" t="str">
        <f>IF(ISNUMBER(Datos!M17),Datos!M17," - ")</f>
        <v xml:space="preserve"> - </v>
      </c>
      <c r="AJ17" s="245" t="str">
        <f>IF(ISNUMBER(Datos!BW17),Datos!BW17," - ")</f>
        <v xml:space="preserve"> - </v>
      </c>
      <c r="AK17" s="246" t="str">
        <f>IF(ISNUMBER(Datos!BX17),Datos!BX17," - ")</f>
        <v xml:space="preserve"> - </v>
      </c>
      <c r="AL17" s="266" t="str">
        <f>IF(ISNUMBER(NºAsuntos!G17/NºAsuntos!E17),NºAsuntos!G17/NºAsuntos!E17," - ")</f>
        <v xml:space="preserve"> - </v>
      </c>
      <c r="AM17" s="284" t="str">
        <f>IF(ISNUMBER(((NºAsuntos!I17/NºAsuntos!G17)*11)/factor_trimestre),((NºAsuntos!I17/NºAsuntos!G17)*11)/factor_trimestre," - ")</f>
        <v xml:space="preserve"> - </v>
      </c>
      <c r="AN17" s="267" t="str">
        <f>IF(ISNUMBER('Resol  Asuntos'!D17/NºAsuntos!G17),'Resol  Asuntos'!D17/NºAsuntos!G17," - ")</f>
        <v xml:space="preserve"> - </v>
      </c>
      <c r="AO17" s="268" t="str">
        <f>IF(ISNUMBER((NºAsuntos!C17+NºAsuntos!E17)/NºAsuntos!G17),(NºAsuntos!C17+NºAsuntos!E17)/NºAsuntos!G17," - ")</f>
        <v xml:space="preserve"> - </v>
      </c>
      <c r="AP17" s="244" t="str">
        <f t="shared" si="2"/>
        <v xml:space="preserve"> - </v>
      </c>
      <c r="AQ17" s="244" t="str">
        <f>IF(ISNUMBER((I17-W17+K17)/(F17)),(I17-W17+K17)/(F17)," - ")</f>
        <v xml:space="preserve"> - </v>
      </c>
      <c r="AR17" s="332" t="str">
        <f>IF(ISNUMBER((Datos!P17-Datos!Q17+M17)/(Datos!R17-Datos!P17+Datos!Q17-M17)),(Datos!P17-Datos!Q17+M17)/(Datos!R17-Datos!P17+Datos!Q17-M17)," - ")</f>
        <v xml:space="preserve"> - </v>
      </c>
      <c r="AS17" s="290" t="str">
        <f>IF(ISNUMBER(Datos!CS17),Datos!CS17," - ")</f>
        <v xml:space="preserve"> - </v>
      </c>
      <c r="AT17" s="290" t="str">
        <f>IF(ISNUMBER(Datos!CI17),Datos!CI17," - ")</f>
        <v xml:space="preserve"> - </v>
      </c>
      <c r="AU17" s="290" t="str">
        <f>IF(ISNUMBER(Datos!CJ17),Datos!CJ17," - ")</f>
        <v xml:space="preserve"> - </v>
      </c>
      <c r="AV17" s="290" t="str">
        <f>IF(ISNUMBER(Datos!CW17),Datos!CW17," - ")</f>
        <v xml:space="preserve"> - </v>
      </c>
      <c r="AW17" s="290">
        <f>IF(ISNUMBER(Datos!CX17)," - ",Datos!CX17)</f>
        <v>0</v>
      </c>
      <c r="AX17" s="290" t="str">
        <f>IF(ISNUMBER(Datos!ET17),Datos!ET17," - ")</f>
        <v xml:space="preserve"> - </v>
      </c>
      <c r="AY17" s="1327" t="e">
        <f>(AX17/Datos!ER17)*factor_trimestre</f>
        <v>#VALUE!</v>
      </c>
      <c r="BE17" s="167">
        <f>Datos!BN17/factor_trimestre</f>
        <v>0</v>
      </c>
      <c r="BF17" s="167">
        <f>Datos!BO17/factor_trimestre</f>
        <v>0</v>
      </c>
      <c r="BG17" s="167">
        <f>Datos!BP17/factor_trimestre</f>
        <v>0</v>
      </c>
      <c r="BH17" s="167">
        <f>Datos!BQ17/factor_trimestre</f>
        <v>0</v>
      </c>
      <c r="BI17" s="167">
        <f>Datos!BR17/factor_trimestre</f>
        <v>0</v>
      </c>
      <c r="BJ17" s="167">
        <f>Datos!BS17/factor_trimestre</f>
        <v>0</v>
      </c>
      <c r="BK17" s="167">
        <f>Datos!BT17/factor_trimestre</f>
        <v>0</v>
      </c>
      <c r="BL17" s="167">
        <f>Datos!BU17/factor_trimestre</f>
        <v>0</v>
      </c>
    </row>
    <row r="18" spans="1:64" ht="14.25">
      <c r="A18" s="190">
        <f>Datos!AO18</f>
        <v>3</v>
      </c>
      <c r="B18" s="300" t="s">
        <v>515</v>
      </c>
      <c r="C18" s="7" t="str">
        <f>Datos!A18</f>
        <v>Jdos. Violencia contra la mujer</v>
      </c>
      <c r="D18" s="7"/>
      <c r="E18" s="290">
        <f>IF(ISNUMBER(Datos!AQ18),Datos!AQ18," - ")</f>
        <v>3</v>
      </c>
      <c r="F18" s="239" t="str">
        <f>IF(ISNUMBER(AA18+W18-H18-K18),AA18+W18-H18-K18," - ")</f>
        <v xml:space="preserve"> - </v>
      </c>
      <c r="G18" s="373">
        <f>IF(ISNUMBER(IF(D_I="SI",Datos!I18,Datos!I18+Datos!AC18)),IF(D_I="SI",Datos!I18,Datos!I18+Datos!AC18)," - ")</f>
        <v>726</v>
      </c>
      <c r="H18" s="239" t="str">
        <f>IF(ISNUMBER(Datos!DB18),Datos!DB18," - ")</f>
        <v xml:space="preserve"> - </v>
      </c>
      <c r="I18" s="240" t="str">
        <f>IF(ISNUMBER(Datos!DC18),Datos!DC18," - ")</f>
        <v xml:space="preserve"> - </v>
      </c>
      <c r="J18" s="240" t="str">
        <f>IF(ISNUMBER(Datos!DD18),Datos!DD18," - ")</f>
        <v xml:space="preserve"> - </v>
      </c>
      <c r="K18" s="240">
        <f>IF(ISNUMBER(Datos!DF18),Datos!DF18,0)</f>
        <v>0</v>
      </c>
      <c r="L18" s="240">
        <f>IF(ISNUMBER(Datos!P18),Datos!P18,0)</f>
        <v>35</v>
      </c>
      <c r="M18" s="240" t="str">
        <f>IF(ISNUMBER(Datos!DE18),Datos!DE18," - ")</f>
        <v xml:space="preserve"> - </v>
      </c>
      <c r="N18" s="240" t="str">
        <f>IF(ISNUMBER(H18),H18," - ")</f>
        <v xml:space="preserve"> - </v>
      </c>
      <c r="O18" s="344" t="e">
        <f ca="1">IF(ISNUMBER(INDIRECT("N"&amp;ROW()+salto-1)),N18+(INDIRECT("N"&amp;ROW()+salto-1)),N18+(INDIRECT("N"&amp;ROW()-salto+1)))</f>
        <v>#VALUE!</v>
      </c>
      <c r="P18" s="379" t="str">
        <f t="shared" ref="P18:P22" si="10">IF(ISNUMBER((N18)/((BK18+BL18)/2)),(N18)/((BK18+BL18)/2)," - ")</f>
        <v xml:space="preserve"> - </v>
      </c>
      <c r="Q18" s="379" t="str">
        <f>IF(jurisdiccion="Jurisdicción Civil y Penal",IF(ISNUMBER((O18)/((BK18+BL18)/2)),(O18)/((BK18+BL18)/2)," - "),IF(ISNUMBER((N18)/((BE18+BF18)/2)),(N18)/((BE18+BF18)/2)," - "))</f>
        <v xml:space="preserve"> - </v>
      </c>
      <c r="R18" s="241" t="str">
        <f>IF(ISNUMBER(Datos!CB18),Datos!CB18," - ")</f>
        <v xml:space="preserve"> - </v>
      </c>
      <c r="S18" s="239" t="str">
        <f>IF(ISNUMBER(Datos!BY18+Datos!BZ18),Datos!BY18+Datos!BZ18," - ")</f>
        <v xml:space="preserve"> - </v>
      </c>
      <c r="T18" s="379" t="str">
        <f>IF(ISNUMBER((S18*factor_trimestre)/DatosB!CN18),(S18*factor_trimestre)/DatosB!CN18,"-")</f>
        <v>-</v>
      </c>
      <c r="U18" s="154" t="e">
        <f ca="1">IF(ISNUMBER(INDIRECT("S"&amp;ROW()+salto-1)),S18+(INDIRECT("S"&amp;ROW()+salto-1)),S18+(INDIRECT("S"&amp;ROW()-salto+1)))</f>
        <v>#VALUE!</v>
      </c>
      <c r="V18" s="379" t="str">
        <f ca="1">IF(ISNUMBER((U18*factor_trimestre)/DatosB!CN18),(U18*factor_trimestre)/DatosB!CN18,"-")</f>
        <v>-</v>
      </c>
      <c r="W18" s="239">
        <f>IF(ISNUMBER(IF(D_I="SI",Datos!K18,Datos!K18+Datos!AE18)),IF(D_I="SI",Datos!K18,Datos!K18+Datos!AE18)," - ")</f>
        <v>5190</v>
      </c>
      <c r="X18" s="240">
        <f>IF(ISNUMBER(Datos!Q18),Datos!Q18," - ")</f>
        <v>27</v>
      </c>
      <c r="Y18" s="374">
        <f t="shared" si="9"/>
        <v>5217</v>
      </c>
      <c r="Z18" s="375" t="str">
        <f>IF(ISNUMBER(Datos!CC18),Datos!CC18," - ")</f>
        <v xml:space="preserve"> - </v>
      </c>
      <c r="AA18" s="372">
        <f>IF(ISNUMBER(Datos!L18),Datos!L18,"-")</f>
        <v>632</v>
      </c>
      <c r="AB18" s="374">
        <f>IF(ISNUMBER(Datos!R18),Datos!R18," - ")</f>
        <v>29</v>
      </c>
      <c r="AC18" s="374">
        <f t="shared" si="8"/>
        <v>661</v>
      </c>
      <c r="AD18" s="375" t="str">
        <f>IF(ISNUMBER(Datos!CD18),Datos!CD18," - ")</f>
        <v xml:space="preserve"> - </v>
      </c>
      <c r="AE18" s="243" t="str">
        <f>IF(ISNUMBER(Datos!BV18),Datos!BV18," - ")</f>
        <v xml:space="preserve"> - </v>
      </c>
      <c r="AF18" s="239" t="str">
        <f>IF(ISNUMBER(Datos!CK18),Datos!CK18," - ")</f>
        <v xml:space="preserve"> - </v>
      </c>
      <c r="AG18" s="324" t="str">
        <f>IF(ISNUMBER(Datos!CL18),Datos!CL18," - ")</f>
        <v xml:space="preserve"> - </v>
      </c>
      <c r="AH18" s="241" t="str">
        <f>IF(ISNUMBER(Datos!CM18),Datos!CM18," - ")</f>
        <v xml:space="preserve"> - </v>
      </c>
      <c r="AI18" s="239">
        <f>IF(ISNUMBER(Datos!M18),Datos!M18," - ")</f>
        <v>251</v>
      </c>
      <c r="AJ18" s="245" t="str">
        <f>IF(ISNUMBER(Datos!BW18),Datos!BW18," - ")</f>
        <v xml:space="preserve"> - </v>
      </c>
      <c r="AK18" s="246" t="str">
        <f>IF(ISNUMBER(Datos!BX18),Datos!BX18," - ")</f>
        <v xml:space="preserve"> - </v>
      </c>
      <c r="AL18" s="266">
        <f>IF(ISNUMBER(NºAsuntos!G18/NºAsuntos!E18),NºAsuntos!G18/NºAsuntos!E18," - ")</f>
        <v>1.0303752233472305</v>
      </c>
      <c r="AM18" s="284">
        <f>IF(ISNUMBER(((NºAsuntos!I18/NºAsuntos!G18)*11)/factor_trimestre),((NºAsuntos!I18/NºAsuntos!G18)*11)/factor_trimestre," - ")</f>
        <v>1.3394990366088633</v>
      </c>
      <c r="AN18" s="267">
        <f>IF(ISNUMBER('Resol  Asuntos'!D18/NºAsuntos!G18),'Resol  Asuntos'!D18/NºAsuntos!G18," - ")</f>
        <v>4.8362235067437379E-2</v>
      </c>
      <c r="AO18" s="268">
        <f>IF(ISNUMBER((NºAsuntos!C18+NºAsuntos!E18)/NºAsuntos!G18),(NºAsuntos!C18+NºAsuntos!E18)/NºAsuntos!G18," - ")</f>
        <v>1.1104046242774566</v>
      </c>
      <c r="AP18" s="244" t="str">
        <f t="shared" si="2"/>
        <v xml:space="preserve"> - </v>
      </c>
      <c r="AQ18" s="244" t="str">
        <f t="shared" ref="AQ18:AQ22" si="11">IF(ISNUMBER((H18-W18+K18)/(F18)),(H18-W18+K18)/(F18)," - ")</f>
        <v xml:space="preserve"> - </v>
      </c>
      <c r="AR18" s="332" t="str">
        <f>IF(ISNUMBER((Datos!P18-Datos!Q18+M18)/(Datos!R18-Datos!P18+Datos!Q18-M18)),(Datos!P18-Datos!Q18+M18)/(Datos!R18-Datos!P18+Datos!Q18-M18)," - ")</f>
        <v xml:space="preserve"> - </v>
      </c>
      <c r="AS18" s="290" t="str">
        <f>IF(ISNUMBER(Datos!CS18),Datos!CS18," - ")</f>
        <v xml:space="preserve"> - </v>
      </c>
      <c r="AT18" s="290" t="str">
        <f>IF(ISNUMBER(Datos!CI18),Datos!CI18," - ")</f>
        <v xml:space="preserve"> - </v>
      </c>
      <c r="AU18" s="290" t="str">
        <f>IF(ISNUMBER(Datos!CJ18),Datos!CJ18," - ")</f>
        <v xml:space="preserve"> - </v>
      </c>
      <c r="AV18" s="290" t="str">
        <f>IF(ISNUMBER(Datos!CW18),Datos!CW18," - ")</f>
        <v xml:space="preserve"> - </v>
      </c>
      <c r="AW18" s="290">
        <f>IF(ISNUMBER(Datos!CX18)," - ",Datos!CX18)</f>
        <v>0</v>
      </c>
      <c r="AX18" s="290" t="str">
        <f>IF(ISNUMBER(Datos!EO18),Datos!EO18," - ")</f>
        <v xml:space="preserve"> - </v>
      </c>
      <c r="AY18" s="1327" t="e">
        <f>(AX18/Datos!ER18)*factor_trimestre</f>
        <v>#VALUE!</v>
      </c>
      <c r="BE18" s="167">
        <f>Datos!BN18/factor_trimestre</f>
        <v>0</v>
      </c>
      <c r="BF18" s="167">
        <f>Datos!BO18/factor_trimestre</f>
        <v>0</v>
      </c>
      <c r="BG18" s="167">
        <f>Datos!BP18/factor_trimestre</f>
        <v>0</v>
      </c>
      <c r="BH18" s="167">
        <f>Datos!BQ18/factor_trimestre</f>
        <v>0</v>
      </c>
      <c r="BI18" s="167">
        <f>Datos!BR18/factor_trimestre</f>
        <v>0</v>
      </c>
      <c r="BJ18" s="167">
        <f>Datos!BS18/factor_trimestre</f>
        <v>0</v>
      </c>
      <c r="BK18" s="167">
        <f>Datos!BT18/factor_trimestre</f>
        <v>0</v>
      </c>
      <c r="BL18" s="167">
        <f>Datos!BU18/factor_trimestre</f>
        <v>0</v>
      </c>
    </row>
    <row r="19" spans="1:64" ht="14.25">
      <c r="A19" s="190">
        <f>Datos!AO19</f>
        <v>0</v>
      </c>
      <c r="B19" s="300" t="s">
        <v>515</v>
      </c>
      <c r="C19" s="7" t="str">
        <f>Datos!A19</f>
        <v xml:space="preserve">Jdos. de Menores                                </v>
      </c>
      <c r="D19" s="7"/>
      <c r="E19" s="290">
        <f>IF(ISNUMBER(Datos!AQ19),Datos!AQ19," - ")</f>
        <v>0</v>
      </c>
      <c r="F19" s="239" t="str">
        <f>IF(ISNUMBER(Datos!L19+Datos!K19-Datos!J19-K19),Datos!L19+Datos!K19-Datos!J19-K19," - ")</f>
        <v xml:space="preserve"> - </v>
      </c>
      <c r="G19" s="373" t="str">
        <f>IF(ISNUMBER(Datos!I19),Datos!I19," - ")</f>
        <v xml:space="preserve"> - </v>
      </c>
      <c r="H19" s="239" t="str">
        <f>IF(ISNUMBER(Datos!DB19),Datos!DB19," - ")</f>
        <v xml:space="preserve"> - </v>
      </c>
      <c r="I19" s="240" t="str">
        <f>IF(ISNUMBER(Datos!DC19),Datos!DC19," - ")</f>
        <v xml:space="preserve"> - </v>
      </c>
      <c r="J19" s="240" t="str">
        <f>IF(ISNUMBER(Datos!DD19),Datos!DD19," - ")</f>
        <v xml:space="preserve"> - </v>
      </c>
      <c r="K19" s="240">
        <f>IF(ISNUMBER(Datos!DF19),Datos!DF19,0)</f>
        <v>0</v>
      </c>
      <c r="L19" s="240">
        <f>IF(ISNUMBER(Datos!P19),Datos!P19,0)</f>
        <v>0</v>
      </c>
      <c r="M19" s="240" t="str">
        <f>IF(ISNUMBER(Datos!DE19),Datos!DE19," - ")</f>
        <v xml:space="preserve"> - </v>
      </c>
      <c r="N19" s="240" t="str">
        <f>IF(ISNUMBER(H19+L19),H19+L19," - ")</f>
        <v xml:space="preserve"> - </v>
      </c>
      <c r="O19" s="374"/>
      <c r="P19" s="379" t="str">
        <f t="shared" si="10"/>
        <v xml:space="preserve"> - </v>
      </c>
      <c r="Q19" s="379" t="str">
        <f>IF(ISNUMBER((N19)/((BK19+BL19)/2)),(N19)/((BK19+BL19)/2)," - ")</f>
        <v xml:space="preserve"> - </v>
      </c>
      <c r="R19" s="241" t="str">
        <f>IF(ISNUMBER(Datos!CB19),Datos!CB19," - ")</f>
        <v xml:space="preserve"> - </v>
      </c>
      <c r="S19" s="239" t="str">
        <f>IF(ISNUMBER(Datos!BY19),Datos!BY19," - ")</f>
        <v xml:space="preserve"> - </v>
      </c>
      <c r="T19" s="379" t="str">
        <f>IF(ISNUMBER((S19*factor_trimestre)/DatosB!CN19),(S19*factor_trimestre)/DatosB!CN19,"-")</f>
        <v>-</v>
      </c>
      <c r="U19" s="324"/>
      <c r="V19" s="379">
        <f>IF(ISNUMBER((U19*factor_trimestre)/DatosB!CN19),(U19*factor_trimestre)/DatosB!CN19,"-")</f>
        <v>0</v>
      </c>
      <c r="W19" s="239" t="str">
        <f>IF(ISNUMBER(Datos!K19),Datos!K19," - ")</f>
        <v xml:space="preserve"> - </v>
      </c>
      <c r="X19" s="240" t="str">
        <f>IF(ISNUMBER(Datos!Q19),Datos!Q19," - ")</f>
        <v xml:space="preserve"> - </v>
      </c>
      <c r="Y19" s="374">
        <f t="shared" si="9"/>
        <v>0</v>
      </c>
      <c r="Z19" s="375" t="str">
        <f>IF(ISNUMBER(Datos!CC19),Datos!CC19," - ")</f>
        <v xml:space="preserve"> - </v>
      </c>
      <c r="AA19" s="372" t="str">
        <f>IF(ISNUMBER(Datos!L19),Datos!L19,"-")</f>
        <v>-</v>
      </c>
      <c r="AB19" s="374" t="str">
        <f>IF(ISNUMBER(Datos!R19),Datos!R19," - ")</f>
        <v xml:space="preserve"> - </v>
      </c>
      <c r="AC19" s="374" t="str">
        <f t="shared" si="8"/>
        <v xml:space="preserve"> - </v>
      </c>
      <c r="AD19" s="375" t="str">
        <f>IF(ISNUMBER(Datos!CD19),Datos!CD19," - ")</f>
        <v xml:space="preserve"> - </v>
      </c>
      <c r="AE19" s="243" t="str">
        <f>IF(ISNUMBER(Datos!BV19),Datos!BV19," - ")</f>
        <v xml:space="preserve"> - </v>
      </c>
      <c r="AF19" s="239" t="str">
        <f>IF(ISNUMBER(Datos!CK19),Datos!CK19," - ")</f>
        <v xml:space="preserve"> - </v>
      </c>
      <c r="AG19" s="324" t="str">
        <f>IF(ISNUMBER(Datos!CL19),Datos!CL19," - ")</f>
        <v xml:space="preserve"> - </v>
      </c>
      <c r="AH19" s="241" t="str">
        <f>IF(ISNUMBER(Datos!CM19),Datos!CM19," - ")</f>
        <v xml:space="preserve"> - </v>
      </c>
      <c r="AI19" s="239" t="str">
        <f>IF(ISNUMBER(Datos!M19),Datos!M19," - ")</f>
        <v xml:space="preserve"> - </v>
      </c>
      <c r="AJ19" s="245" t="str">
        <f>IF(ISNUMBER(Datos!BW19),Datos!BW19," - ")</f>
        <v xml:space="preserve"> - </v>
      </c>
      <c r="AK19" s="246" t="str">
        <f>IF(ISNUMBER(Datos!BX19),Datos!BX19," - ")</f>
        <v xml:space="preserve"> - </v>
      </c>
      <c r="AL19" s="266" t="str">
        <f>IF(ISNUMBER(NºAsuntos!G19/NºAsuntos!E19),NºAsuntos!G19/NºAsuntos!E19," - ")</f>
        <v xml:space="preserve"> - </v>
      </c>
      <c r="AM19" s="284" t="str">
        <f>IF(ISNUMBER(((NºAsuntos!I19/NºAsuntos!G19)*11)/factor_trimestre),((NºAsuntos!I19/NºAsuntos!G19)*11)/factor_trimestre," - ")</f>
        <v xml:space="preserve"> - </v>
      </c>
      <c r="AN19" s="267" t="str">
        <f>IF(ISNUMBER('Resol  Asuntos'!D19/NºAsuntos!G19),'Resol  Asuntos'!D19/NºAsuntos!G19," - ")</f>
        <v xml:space="preserve"> - </v>
      </c>
      <c r="AO19" s="268" t="str">
        <f>IF(ISNUMBER((NºAsuntos!C19+NºAsuntos!E19)/NºAsuntos!G19),(NºAsuntos!C19+NºAsuntos!E19)/NºAsuntos!G19," - ")</f>
        <v xml:space="preserve"> - </v>
      </c>
      <c r="AP19" s="244" t="str">
        <f t="shared" si="2"/>
        <v xml:space="preserve"> - </v>
      </c>
      <c r="AQ19" s="244" t="str">
        <f t="shared" si="11"/>
        <v xml:space="preserve"> - </v>
      </c>
      <c r="AR19" s="332" t="str">
        <f>IF(ISNUMBER((Datos!P19-Datos!Q19+M19)/(Datos!R19-Datos!P19+Datos!Q19-M19)),(Datos!P19-Datos!Q19+M19)/(Datos!R19-Datos!P19+Datos!Q19-M19)," - ")</f>
        <v xml:space="preserve"> - </v>
      </c>
      <c r="AS19" s="290" t="str">
        <f>IF(ISNUMBER(Datos!CS19),Datos!CS19," - ")</f>
        <v xml:space="preserve"> - </v>
      </c>
      <c r="AT19" s="290" t="str">
        <f>IF(ISNUMBER(Datos!CI19),Datos!CI19," - ")</f>
        <v xml:space="preserve"> - </v>
      </c>
      <c r="AU19" s="290" t="str">
        <f>IF(ISNUMBER(Datos!CJ19),Datos!CJ19," - ")</f>
        <v xml:space="preserve"> - </v>
      </c>
      <c r="AV19" s="290" t="str">
        <f>IF(ISNUMBER(Datos!CW19),Datos!CW19," - ")</f>
        <v xml:space="preserve"> - </v>
      </c>
      <c r="AW19" s="290">
        <f>IF(ISNUMBER(Datos!CX19)," - ",Datos!CX19)</f>
        <v>0</v>
      </c>
      <c r="AX19" s="290" t="str">
        <f>IF(ISNUMBER(Datos!EO19),Datos!EO19," - ")</f>
        <v xml:space="preserve"> - </v>
      </c>
      <c r="AY19" s="1327" t="e">
        <f>(AX19/Datos!ER19)*factor_trimestre</f>
        <v>#VALUE!</v>
      </c>
      <c r="BE19" s="167">
        <f>Datos!BN19/factor_trimestre</f>
        <v>0</v>
      </c>
      <c r="BF19" s="167">
        <f>Datos!BO19/factor_trimestre</f>
        <v>0</v>
      </c>
      <c r="BG19" s="167">
        <f>Datos!BP19/factor_trimestre</f>
        <v>0</v>
      </c>
      <c r="BH19" s="167">
        <f>Datos!BQ19/factor_trimestre</f>
        <v>0</v>
      </c>
      <c r="BI19" s="167">
        <f>Datos!BR19/factor_trimestre</f>
        <v>0</v>
      </c>
      <c r="BJ19" s="167">
        <f>Datos!BS19/factor_trimestre</f>
        <v>0</v>
      </c>
      <c r="BK19" s="167">
        <f>Datos!BT19/factor_trimestre</f>
        <v>0</v>
      </c>
      <c r="BL19" s="167">
        <f>Datos!BU19/factor_trimestre</f>
        <v>0</v>
      </c>
    </row>
    <row r="20" spans="1:64" s="535" customFormat="1" ht="14.25">
      <c r="A20" s="797">
        <f>Datos!AO20</f>
        <v>0</v>
      </c>
      <c r="B20" s="798" t="s">
        <v>515</v>
      </c>
      <c r="C20" s="751" t="str">
        <f>Datos!A20</f>
        <v xml:space="preserve">Jdos. Vigilancia Penitenciaria                  </v>
      </c>
      <c r="D20" s="751"/>
      <c r="E20" s="721">
        <f>IF(ISNUMBER(Datos!AQ20),Datos!AQ20," - ")</f>
        <v>0</v>
      </c>
      <c r="F20" s="556" t="str">
        <f>IF(ISNUMBER(Datos!L20+Datos!K20-Datos!J20-K20),Datos!L20+Datos!K20-Datos!J20-K20," - ")</f>
        <v xml:space="preserve"> - </v>
      </c>
      <c r="G20" s="547" t="str">
        <f>IF(ISNUMBER(Datos!I20),Datos!I20," - ")</f>
        <v xml:space="preserve"> - </v>
      </c>
      <c r="H20" s="556" t="str">
        <f>IF(ISNUMBER(Datos!DB20),Datos!DB20," - ")</f>
        <v xml:space="preserve"> - </v>
      </c>
      <c r="I20" s="551" t="str">
        <f>IF(ISNUMBER(Datos!DC20),Datos!DC20," - ")</f>
        <v xml:space="preserve"> - </v>
      </c>
      <c r="J20" s="551" t="str">
        <f>IF(ISNUMBER(Datos!DD20),Datos!DD20," - ")</f>
        <v xml:space="preserve"> - </v>
      </c>
      <c r="K20" s="551">
        <f>IF(ISNUMBER(Datos!DF20),Datos!DF20,0)</f>
        <v>0</v>
      </c>
      <c r="L20" s="551">
        <f>IF(ISNUMBER(Datos!P20),Datos!P20,0)</f>
        <v>0</v>
      </c>
      <c r="M20" s="551" t="str">
        <f>IF(ISNUMBER(Datos!DE20),Datos!DE20," - ")</f>
        <v xml:space="preserve"> - </v>
      </c>
      <c r="N20" s="551" t="str">
        <f>IF(ISNUMBER(H20),H20," - ")</f>
        <v xml:space="preserve"> - </v>
      </c>
      <c r="O20" s="553"/>
      <c r="P20" s="552" t="str">
        <f t="shared" si="10"/>
        <v xml:space="preserve"> - </v>
      </c>
      <c r="Q20" s="552" t="str">
        <f>IF(ISNUMBER((N20)/((BK20+BL20)/2)),(N20)/((BK20+BL20)/2)," - ")</f>
        <v xml:space="preserve"> - </v>
      </c>
      <c r="R20" s="558" t="str">
        <f>IF(ISNUMBER(Datos!CB20),Datos!CB20," - ")</f>
        <v xml:space="preserve"> - </v>
      </c>
      <c r="S20" s="556">
        <f>IF(ISNUMBER(Datos!BY20+Datos!BZ20),Datos!BY20+Datos!BZ20," - ")</f>
        <v>0</v>
      </c>
      <c r="T20" s="552">
        <f>IF(ISNUMBER((S20*factor_trimestre)/DatosB!CN20),(S20*factor_trimestre)/DatosB!CN20,"-")</f>
        <v>0</v>
      </c>
      <c r="U20" s="557"/>
      <c r="V20" s="552">
        <f>IF(ISNUMBER((U20*factor_trimestre)/DatosB!CN20),(U20*factor_trimestre)/DatosB!CN20,"-")</f>
        <v>0</v>
      </c>
      <c r="W20" s="556" t="str">
        <f>IF(ISNUMBER(Datos!K20),Datos!K20," - ")</f>
        <v xml:space="preserve"> - </v>
      </c>
      <c r="X20" s="551" t="str">
        <f>IF(ISNUMBER(Datos!Q20),Datos!Q20," - ")</f>
        <v xml:space="preserve"> - </v>
      </c>
      <c r="Y20" s="553">
        <f t="shared" si="9"/>
        <v>0</v>
      </c>
      <c r="Z20" s="771" t="str">
        <f>IF(ISNUMBER(Datos!CC20),Datos!CC20," - ")</f>
        <v xml:space="preserve"> - </v>
      </c>
      <c r="AA20" s="555" t="str">
        <f>IF(ISNUMBER(Datos!L20),Datos!L20,"-")</f>
        <v>-</v>
      </c>
      <c r="AB20" s="553" t="str">
        <f>IF(ISNUMBER(Datos!R20),Datos!R20," - ")</f>
        <v xml:space="preserve"> - </v>
      </c>
      <c r="AC20" s="553" t="str">
        <f t="shared" si="8"/>
        <v xml:space="preserve"> - </v>
      </c>
      <c r="AD20" s="771" t="str">
        <f>IF(ISNUMBER(Datos!CD20),Datos!CD20," - ")</f>
        <v xml:space="preserve"> - </v>
      </c>
      <c r="AE20" s="697" t="str">
        <f>IF(ISNUMBER(Datos!BV20),Datos!BV20," - ")</f>
        <v xml:space="preserve"> - </v>
      </c>
      <c r="AF20" s="556" t="str">
        <f>IF(ISNUMBER(Datos!CK20),Datos!CK20," - ")</f>
        <v xml:space="preserve"> - </v>
      </c>
      <c r="AG20" s="557" t="str">
        <f>IF(ISNUMBER(Datos!CL20),Datos!CL20," - ")</f>
        <v xml:space="preserve"> - </v>
      </c>
      <c r="AH20" s="558" t="str">
        <f>IF(ISNUMBER(Datos!CM20),Datos!CM20," - ")</f>
        <v xml:space="preserve"> - </v>
      </c>
      <c r="AI20" s="556" t="str">
        <f>IF(ISNUMBER(Datos!N20),Datos!N20," - ")</f>
        <v xml:space="preserve"> - </v>
      </c>
      <c r="AJ20" s="799" t="str">
        <f>IF(ISNUMBER(Datos!BW20),Datos!BW20," - ")</f>
        <v xml:space="preserve"> - </v>
      </c>
      <c r="AK20" s="800" t="str">
        <f>IF(ISNUMBER(Datos!BX20),Datos!BX20," - ")</f>
        <v xml:space="preserve"> - </v>
      </c>
      <c r="AL20" s="768" t="str">
        <f>IF(ISNUMBER(NºAsuntos!G20/NºAsuntos!E20),NºAsuntos!G20/NºAsuntos!E20," - ")</f>
        <v xml:space="preserve"> - </v>
      </c>
      <c r="AM20" s="769" t="str">
        <f>IF(ISNUMBER(((NºAsuntos!I20/NºAsuntos!G20)*11)/factor_trimestre),((NºAsuntos!I20/NºAsuntos!G20)*11)/factor_trimestre," - ")</f>
        <v xml:space="preserve"> - </v>
      </c>
      <c r="AN20" s="801" t="str">
        <f>IF(ISNUMBER('Resol  Asuntos'!D20/NºAsuntos!G20),'Resol  Asuntos'!D20/NºAsuntos!G20," - ")</f>
        <v xml:space="preserve"> - </v>
      </c>
      <c r="AO20" s="802" t="str">
        <f>IF(ISNUMBER((NºAsuntos!C20+NºAsuntos!E20)/NºAsuntos!G20),(NºAsuntos!C20+NºAsuntos!E20)/NºAsuntos!G20," - ")</f>
        <v xml:space="preserve"> - </v>
      </c>
      <c r="AP20" s="559" t="str">
        <f t="shared" si="2"/>
        <v xml:space="preserve"> - </v>
      </c>
      <c r="AQ20" s="244" t="str">
        <f t="shared" si="11"/>
        <v xml:space="preserve"> - </v>
      </c>
      <c r="AR20" s="772" t="str">
        <f>IF(ISNUMBER((Datos!P20-Datos!Q20+M20)/(Datos!R20-Datos!P20+Datos!Q20-M20)),(Datos!P20-Datos!Q20+M20)/(Datos!R20-Datos!P20+Datos!Q20-M20)," - ")</f>
        <v xml:space="preserve"> - </v>
      </c>
      <c r="AS20" s="721" t="str">
        <f>IF(ISNUMBER(Datos!CS20),Datos!CS20," - ")</f>
        <v xml:space="preserve"> - </v>
      </c>
      <c r="AT20" s="721" t="str">
        <f>IF(ISNUMBER(Datos!CI20),Datos!CI20," - ")</f>
        <v xml:space="preserve"> - </v>
      </c>
      <c r="AU20" s="721" t="str">
        <f>IF(ISNUMBER(Datos!CJ20),Datos!CJ20," - ")</f>
        <v xml:space="preserve"> - </v>
      </c>
      <c r="AV20" s="721" t="str">
        <f>IF(ISNUMBER(Datos!CW20),Datos!CW20," - ")</f>
        <v xml:space="preserve"> - </v>
      </c>
      <c r="AW20" s="721">
        <f>IF(ISNUMBER(Datos!CX20)," - ",Datos!CX20)</f>
        <v>0</v>
      </c>
      <c r="AX20" s="290" t="str">
        <f>IF(ISNUMBER(Datos!EO20),Datos!EO20," - ")</f>
        <v xml:space="preserve"> - </v>
      </c>
      <c r="AY20" s="1327" t="e">
        <f>(AX20/Datos!ER20)*factor_trimestre</f>
        <v>#VALUE!</v>
      </c>
      <c r="BE20" s="803">
        <f>Datos!BN20/factor_trimestre</f>
        <v>0</v>
      </c>
      <c r="BF20" s="803">
        <f>Datos!BO20/factor_trimestre</f>
        <v>0</v>
      </c>
      <c r="BG20" s="803">
        <f>Datos!BP20/factor_trimestre</f>
        <v>0</v>
      </c>
      <c r="BH20" s="803">
        <f>Datos!BQ20/factor_trimestre</f>
        <v>0</v>
      </c>
      <c r="BI20" s="803">
        <f>Datos!BR20/factor_trimestre</f>
        <v>0</v>
      </c>
      <c r="BJ20" s="803">
        <f>Datos!BS20/factor_trimestre</f>
        <v>0</v>
      </c>
      <c r="BK20" s="803">
        <f>Datos!BT20/factor_trimestre</f>
        <v>0</v>
      </c>
      <c r="BL20" s="803">
        <f>Datos!BU20/factor_trimestre</f>
        <v>0</v>
      </c>
    </row>
    <row r="21" spans="1:64" ht="14.25">
      <c r="A21" s="190">
        <f>Datos!AO21</f>
        <v>0</v>
      </c>
      <c r="B21" s="300" t="s">
        <v>515</v>
      </c>
      <c r="C21" s="7" t="str">
        <f>Datos!A21</f>
        <v xml:space="preserve">Jdos. de lo Penal                               </v>
      </c>
      <c r="D21" s="7"/>
      <c r="E21" s="290">
        <f>IF(ISNUMBER(Datos!AQ21),Datos!AQ21," - ")</f>
        <v>0</v>
      </c>
      <c r="F21" s="239" t="str">
        <f>IF(ISNUMBER(Datos!L21+Datos!K21-Datos!J21-K21),Datos!L21+Datos!K21-Datos!J21-K21," - ")</f>
        <v xml:space="preserve"> - </v>
      </c>
      <c r="G21" s="373" t="str">
        <f>IF(ISNUMBER(Datos!I21),Datos!I21," - ")</f>
        <v xml:space="preserve"> - </v>
      </c>
      <c r="H21" s="239" t="str">
        <f>IF(ISNUMBER(Datos!DB21),Datos!DB21," - ")</f>
        <v xml:space="preserve"> - </v>
      </c>
      <c r="I21" s="240">
        <f>IF(ISNUMBER(Datos!DC21),Datos!DC21,0)</f>
        <v>0</v>
      </c>
      <c r="J21" s="240" t="str">
        <f>IF(ISNUMBER(Datos!DD21),Datos!DD21," - ")</f>
        <v xml:space="preserve"> - </v>
      </c>
      <c r="K21" s="240">
        <f>IF(ISNUMBER(Datos!DF21),Datos!DF21,0)</f>
        <v>0</v>
      </c>
      <c r="L21" s="240">
        <f>IF(ISNUMBER(Datos!P21),Datos!P21,0)</f>
        <v>0</v>
      </c>
      <c r="M21" s="240" t="str">
        <f>IF(ISNUMBER(Datos!DE21),Datos!DE21," - ")</f>
        <v xml:space="preserve"> - </v>
      </c>
      <c r="N21" s="240" t="str">
        <f>IF(ISNUMBER(H21+(I21/2.9)),H21+(I21/2.9)," - ")</f>
        <v xml:space="preserve"> - </v>
      </c>
      <c r="O21" s="374"/>
      <c r="P21" s="379" t="str">
        <f t="shared" si="10"/>
        <v xml:space="preserve"> - </v>
      </c>
      <c r="Q21" s="379" t="str">
        <f>IF(ISNUMBER((N21)/((BK21+BL21)/2)),(N21)/((BK21+BL21)/2)," - ")</f>
        <v xml:space="preserve"> - </v>
      </c>
      <c r="R21" s="241" t="str">
        <f>IF(ISNUMBER(Datos!CB21),Datos!CB21," - ")</f>
        <v xml:space="preserve"> - </v>
      </c>
      <c r="S21" s="239" t="str">
        <f>IF(ISNUMBER(Datos!BY21),Datos!BY21," - ")</f>
        <v xml:space="preserve"> - </v>
      </c>
      <c r="T21" s="379" t="str">
        <f>IF(ISNUMBER((S21*factor_trimestre)/DatosB!CN21),(S21*factor_trimestre)/DatosB!CN21,"-")</f>
        <v>-</v>
      </c>
      <c r="U21" s="324"/>
      <c r="V21" s="379" t="str">
        <f>IF(ISNUMBER((U21*factor_trimestre)/DatosB!CN21),(U21*factor_trimestre)/DatosB!CN21,"-")</f>
        <v>-</v>
      </c>
      <c r="W21" s="239" t="str">
        <f>IF(ISNUMBER(Datos!K21),Datos!K21," - ")</f>
        <v xml:space="preserve"> - </v>
      </c>
      <c r="X21" s="240" t="str">
        <f>IF(ISNUMBER(Datos!Q21),Datos!Q21," - ")</f>
        <v xml:space="preserve"> - </v>
      </c>
      <c r="Y21" s="374">
        <f t="shared" si="9"/>
        <v>0</v>
      </c>
      <c r="Z21" s="375" t="str">
        <f>IF(ISNUMBER(Datos!CC21),Datos!CC21," - ")</f>
        <v xml:space="preserve"> - </v>
      </c>
      <c r="AA21" s="372" t="str">
        <f>IF(ISNUMBER(Datos!L21),Datos!L21,"-")</f>
        <v>-</v>
      </c>
      <c r="AB21" s="374" t="str">
        <f>IF(ISNUMBER(Datos!R21),Datos!R21," - ")</f>
        <v xml:space="preserve"> - </v>
      </c>
      <c r="AC21" s="374" t="str">
        <f t="shared" si="8"/>
        <v xml:space="preserve"> - </v>
      </c>
      <c r="AD21" s="375" t="str">
        <f>IF(ISNUMBER(Datos!CD21),Datos!CD21," - ")</f>
        <v xml:space="preserve"> - </v>
      </c>
      <c r="AE21" s="243" t="str">
        <f>IF(ISNUMBER(Datos!BV21),Datos!BV21," - ")</f>
        <v xml:space="preserve"> - </v>
      </c>
      <c r="AF21" s="239" t="str">
        <f>IF(ISNUMBER(Datos!CK21),Datos!CK21," - ")</f>
        <v xml:space="preserve"> - </v>
      </c>
      <c r="AG21" s="324" t="str">
        <f>IF(ISNUMBER(Datos!CL21),Datos!CL21," - ")</f>
        <v xml:space="preserve"> - </v>
      </c>
      <c r="AH21" s="241" t="str">
        <f>IF(ISNUMBER(Datos!CM21),Datos!CM21," - ")</f>
        <v xml:space="preserve"> - </v>
      </c>
      <c r="AI21" s="239" t="str">
        <f>IF(ISNUMBER(Datos!M21),Datos!M21," - ")</f>
        <v xml:space="preserve"> - </v>
      </c>
      <c r="AJ21" s="245" t="str">
        <f>IF(ISNUMBER(Datos!BW21),Datos!BW21," - ")</f>
        <v xml:space="preserve"> - </v>
      </c>
      <c r="AK21" s="246" t="str">
        <f>IF(ISNUMBER(Datos!BX21),Datos!BX21," - ")</f>
        <v xml:space="preserve"> - </v>
      </c>
      <c r="AL21" s="266" t="str">
        <f>IF(ISNUMBER(NºAsuntos!G21/NºAsuntos!E21),NºAsuntos!G21/NºAsuntos!E21," - ")</f>
        <v xml:space="preserve"> - </v>
      </c>
      <c r="AM21" s="284" t="str">
        <f>IF(ISNUMBER(((NºAsuntos!I21/NºAsuntos!G21)*11)/factor_trimestre),((NºAsuntos!I21/NºAsuntos!G21)*11)/factor_trimestre," - ")</f>
        <v xml:space="preserve"> - </v>
      </c>
      <c r="AN21" s="267" t="str">
        <f>IF(ISNUMBER('Resol  Asuntos'!D21/NºAsuntos!G21),'Resol  Asuntos'!D21/NºAsuntos!G21," - ")</f>
        <v xml:space="preserve"> - </v>
      </c>
      <c r="AO21" s="268" t="str">
        <f>IF(ISNUMBER((NºAsuntos!C21+NºAsuntos!E21)/NºAsuntos!G21),(NºAsuntos!C21+NºAsuntos!E21)/NºAsuntos!G21," - ")</f>
        <v xml:space="preserve"> - </v>
      </c>
      <c r="AP21" s="244" t="str">
        <f t="shared" si="2"/>
        <v xml:space="preserve"> - </v>
      </c>
      <c r="AQ21" s="244" t="str">
        <f t="shared" si="11"/>
        <v xml:space="preserve"> - </v>
      </c>
      <c r="AR21" s="332" t="str">
        <f>IF(ISNUMBER((Datos!P21-Datos!Q21+M21)/(Datos!R21-Datos!P21+Datos!Q21-M21)),(Datos!P21-Datos!Q21+M21)/(Datos!R21-Datos!P21+Datos!Q21-M21)," - ")</f>
        <v xml:space="preserve"> - </v>
      </c>
      <c r="AS21" s="290" t="str">
        <f>IF(ISNUMBER(Datos!CS21),Datos!CS21," - ")</f>
        <v xml:space="preserve"> - </v>
      </c>
      <c r="AT21" s="290" t="str">
        <f>IF(ISNUMBER(Datos!CI21),Datos!CI21," - ")</f>
        <v xml:space="preserve"> - </v>
      </c>
      <c r="AU21" s="290" t="str">
        <f>IF(ISNUMBER(Datos!CJ21),Datos!CJ21," - ")</f>
        <v xml:space="preserve"> - </v>
      </c>
      <c r="AV21" s="290" t="str">
        <f>IF(ISNUMBER(Datos!CW21),Datos!CW21," - ")</f>
        <v xml:space="preserve"> - </v>
      </c>
      <c r="AW21" s="290">
        <f>IF(ISNUMBER(Datos!CX21)," - ",Datos!CX21)</f>
        <v>0</v>
      </c>
      <c r="AX21" s="290" t="str">
        <f>IF(ISNUMBER(Datos!EO21),Datos!EO21," - ")</f>
        <v xml:space="preserve"> - </v>
      </c>
      <c r="AY21" s="1327" t="e">
        <f>(AX21/Datos!ER21)*factor_trimestre</f>
        <v>#VALUE!</v>
      </c>
      <c r="BE21" s="167">
        <f>Datos!BN21/factor_trimestre</f>
        <v>0</v>
      </c>
      <c r="BF21" s="167">
        <f>Datos!BO21/factor_trimestre</f>
        <v>0</v>
      </c>
      <c r="BG21" s="167">
        <f>Datos!BP21/factor_trimestre</f>
        <v>0</v>
      </c>
      <c r="BH21" s="167">
        <f>Datos!BQ21/factor_trimestre</f>
        <v>0</v>
      </c>
      <c r="BI21" s="167">
        <f>Datos!BR21/factor_trimestre</f>
        <v>0</v>
      </c>
      <c r="BJ21" s="167">
        <f>Datos!BS21/factor_trimestre</f>
        <v>0</v>
      </c>
      <c r="BK21" s="167">
        <f>Datos!BT21/factor_trimestre</f>
        <v>0</v>
      </c>
      <c r="BL21" s="167">
        <f>Datos!BU21/factor_trimestre</f>
        <v>0</v>
      </c>
    </row>
    <row r="22" spans="1:64" ht="15" thickBot="1">
      <c r="A22" s="190">
        <f>Datos!AO22</f>
        <v>0</v>
      </c>
      <c r="B22" s="300" t="s">
        <v>515</v>
      </c>
      <c r="C22" s="7" t="str">
        <f>Datos!A22</f>
        <v xml:space="preserve">Jdos. de lo Penal de Ejecutorias                </v>
      </c>
      <c r="D22" s="7"/>
      <c r="E22" s="290">
        <f>IF(ISNUMBER(Datos!AQ22),Datos!AQ22," - ")</f>
        <v>0</v>
      </c>
      <c r="F22" s="239" t="str">
        <f>IF(ISNUMBER(Datos!L22+Datos!K22-Datos!J22-K22),Datos!L22+Datos!K22-Datos!J22-K22," - ")</f>
        <v xml:space="preserve"> - </v>
      </c>
      <c r="G22" s="373" t="str">
        <f>IF(ISNUMBER(Datos!I22),Datos!I22," - ")</f>
        <v xml:space="preserve"> - </v>
      </c>
      <c r="H22" s="239" t="str">
        <f>IF(ISNUMBER(Datos!DB22),Datos!DB22," - ")</f>
        <v xml:space="preserve"> - </v>
      </c>
      <c r="I22" s="240" t="str">
        <f>IF(ISNUMBER(Datos!DC22),Datos!DC22," - ")</f>
        <v xml:space="preserve"> - </v>
      </c>
      <c r="J22" s="240" t="str">
        <f>IF(ISNUMBER(Datos!DD22),Datos!DD22," - ")</f>
        <v xml:space="preserve"> - </v>
      </c>
      <c r="K22" s="240">
        <f>IF(ISNUMBER(Datos!DF22),Datos!DF22,0)</f>
        <v>0</v>
      </c>
      <c r="L22" s="240">
        <f>IF(ISNUMBER(Datos!P22),Datos!P22,0)</f>
        <v>0</v>
      </c>
      <c r="M22" s="240" t="str">
        <f>IF(ISNUMBER(Datos!DE22),Datos!DE22," - ")</f>
        <v xml:space="preserve"> - </v>
      </c>
      <c r="N22" s="240" t="str">
        <f t="shared" ref="N22" si="12">IF(ISNUMBER(H22),H22," - ")</f>
        <v xml:space="preserve"> - </v>
      </c>
      <c r="O22" s="374"/>
      <c r="P22" s="379" t="str">
        <f t="shared" si="10"/>
        <v xml:space="preserve"> - </v>
      </c>
      <c r="Q22" s="379" t="str">
        <f>IF(ISNUMBER((N22)/((BK22+BL22)/2)),(N22)/((BK22+BL22)/2)," - ")</f>
        <v xml:space="preserve"> - </v>
      </c>
      <c r="R22" s="241" t="str">
        <f>IF(ISNUMBER(Datos!CB22),Datos!CB22," - ")</f>
        <v xml:space="preserve"> - </v>
      </c>
      <c r="S22" s="239" t="str">
        <f>IF(ISNUMBER(Datos!BY22),Datos!BY22," - ")</f>
        <v xml:space="preserve"> - </v>
      </c>
      <c r="T22" s="379" t="str">
        <f>IF(ISNUMBER((S22*factor_trimestre)/DatosB!CN22),(S22*factor_trimestre)/DatosB!CN22,"-")</f>
        <v>-</v>
      </c>
      <c r="U22" s="324"/>
      <c r="V22" s="379">
        <f>IF(ISNUMBER((U22*factor_trimestre)/DatosB!CN22),(U22*factor_trimestre)/DatosB!CN22,"-")</f>
        <v>0</v>
      </c>
      <c r="W22" s="239" t="str">
        <f>IF(ISNUMBER(Datos!K22),Datos!K22," - ")</f>
        <v xml:space="preserve"> - </v>
      </c>
      <c r="X22" s="240" t="str">
        <f>IF(ISNUMBER(Datos!Q22),Datos!Q22," - ")</f>
        <v xml:space="preserve"> - </v>
      </c>
      <c r="Y22" s="374">
        <f t="shared" si="9"/>
        <v>0</v>
      </c>
      <c r="Z22" s="375" t="str">
        <f>IF(ISNUMBER(Datos!CC22),Datos!CC22," - ")</f>
        <v xml:space="preserve"> - </v>
      </c>
      <c r="AA22" s="372" t="str">
        <f>IF(ISNUMBER(Datos!L22),Datos!L22,"-")</f>
        <v>-</v>
      </c>
      <c r="AB22" s="374" t="str">
        <f>IF(ISNUMBER(Datos!R22),Datos!R22," - ")</f>
        <v xml:space="preserve"> - </v>
      </c>
      <c r="AC22" s="374" t="str">
        <f t="shared" si="8"/>
        <v xml:space="preserve"> - </v>
      </c>
      <c r="AD22" s="375" t="str">
        <f>IF(ISNUMBER(Datos!CD22),Datos!CD22," - ")</f>
        <v xml:space="preserve"> - </v>
      </c>
      <c r="AE22" s="243" t="str">
        <f>IF(ISNUMBER(Datos!BV22),Datos!BV22," - ")</f>
        <v xml:space="preserve"> - </v>
      </c>
      <c r="AF22" s="239" t="str">
        <f>IF(ISNUMBER(Datos!CK22),Datos!CK22," - ")</f>
        <v xml:space="preserve"> - </v>
      </c>
      <c r="AG22" s="324" t="str">
        <f>IF(ISNUMBER(Datos!CL22),Datos!CL22," - ")</f>
        <v xml:space="preserve"> - </v>
      </c>
      <c r="AH22" s="241" t="str">
        <f>IF(ISNUMBER(Datos!CM22),Datos!CM22," - ")</f>
        <v xml:space="preserve"> - </v>
      </c>
      <c r="AI22" s="239" t="str">
        <f>IF(ISNUMBER(Datos!N22),Datos!N22," - ")</f>
        <v xml:space="preserve"> - </v>
      </c>
      <c r="AJ22" s="245" t="str">
        <f>IF(ISNUMBER(Datos!BW22),Datos!BW22," - ")</f>
        <v xml:space="preserve"> - </v>
      </c>
      <c r="AK22" s="246" t="str">
        <f>IF(ISNUMBER(Datos!BX22),Datos!BX22," - ")</f>
        <v xml:space="preserve"> - </v>
      </c>
      <c r="AL22" s="266" t="str">
        <f>IF(ISNUMBER(NºAsuntos!G22/NºAsuntos!E22),NºAsuntos!G22/NºAsuntos!E22," - ")</f>
        <v xml:space="preserve"> - </v>
      </c>
      <c r="AM22" s="284" t="str">
        <f>IF(ISNUMBER(((NºAsuntos!I22/NºAsuntos!G22)*11)/factor_trimestre),((NºAsuntos!I22/NºAsuntos!G22)*11)/factor_trimestre," - ")</f>
        <v xml:space="preserve"> - </v>
      </c>
      <c r="AN22" s="267" t="str">
        <f>IF(ISNUMBER('Resol  Asuntos'!D22/NºAsuntos!G22),'Resol  Asuntos'!D22/NºAsuntos!G22," - ")</f>
        <v xml:space="preserve"> - </v>
      </c>
      <c r="AO22" s="268" t="str">
        <f>IF(ISNUMBER((NºAsuntos!C22+NºAsuntos!E22)/NºAsuntos!G22),(NºAsuntos!C22+NºAsuntos!E22)/NºAsuntos!G22," - ")</f>
        <v xml:space="preserve"> - </v>
      </c>
      <c r="AP22" s="244" t="str">
        <f t="shared" si="2"/>
        <v xml:space="preserve"> - </v>
      </c>
      <c r="AQ22" s="244" t="str">
        <f t="shared" si="11"/>
        <v xml:space="preserve"> - </v>
      </c>
      <c r="AR22" s="332" t="str">
        <f>IF(ISNUMBER((Datos!P22-Datos!Q22+M22)/(Datos!R22-Datos!P22+Datos!Q22-M22)),(Datos!P22-Datos!Q22+M22)/(Datos!R22-Datos!P22+Datos!Q22-M22)," - ")</f>
        <v xml:space="preserve"> - </v>
      </c>
      <c r="AS22" s="290" t="str">
        <f>IF(ISNUMBER(Datos!CS22),Datos!CS22," - ")</f>
        <v xml:space="preserve"> - </v>
      </c>
      <c r="AT22" s="290" t="str">
        <f>IF(ISNUMBER(Datos!CI22),Datos!CI22," - ")</f>
        <v xml:space="preserve"> - </v>
      </c>
      <c r="AU22" s="290" t="str">
        <f>IF(ISNUMBER(Datos!CJ22),Datos!CJ22," - ")</f>
        <v xml:space="preserve"> - </v>
      </c>
      <c r="AV22" s="290" t="str">
        <f>IF(ISNUMBER(Datos!CW22),Datos!CW22," - ")</f>
        <v xml:space="preserve"> - </v>
      </c>
      <c r="AW22" s="290">
        <f>IF(ISNUMBER(Datos!CX22)," - ",Datos!CX22)</f>
        <v>0</v>
      </c>
      <c r="AX22" s="290" t="str">
        <f>IF(ISNUMBER(Datos!EO22),Datos!EO22," - ")</f>
        <v xml:space="preserve"> - </v>
      </c>
      <c r="AY22" s="1327" t="e">
        <f>(AX22/Datos!ER22)*factor_trimestre</f>
        <v>#VALUE!</v>
      </c>
      <c r="BE22" s="167">
        <f>Datos!BN22/factor_trimestre</f>
        <v>0</v>
      </c>
      <c r="BF22" s="167">
        <f>Datos!BO22/factor_trimestre</f>
        <v>0</v>
      </c>
      <c r="BG22" s="167">
        <f>Datos!BP22/factor_trimestre</f>
        <v>0</v>
      </c>
      <c r="BH22" s="167">
        <f>Datos!BQ22/factor_trimestre</f>
        <v>0</v>
      </c>
      <c r="BI22" s="167">
        <f>Datos!BR22/factor_trimestre</f>
        <v>0</v>
      </c>
      <c r="BJ22" s="167">
        <f>Datos!BS22/factor_trimestre</f>
        <v>0</v>
      </c>
      <c r="BK22" s="167">
        <f>Datos!BT22/factor_trimestre</f>
        <v>0</v>
      </c>
      <c r="BL22" s="167">
        <f>Datos!BU22/factor_trimestre</f>
        <v>0</v>
      </c>
    </row>
    <row r="23" spans="1:64" ht="15.75" thickTop="1" thickBot="1">
      <c r="A23" s="191"/>
      <c r="B23" s="191"/>
      <c r="C23" s="1163" t="str">
        <f>Datos!A23</f>
        <v>TOTAL</v>
      </c>
      <c r="D23" s="1163"/>
      <c r="E23" s="1164">
        <f>SUBTOTAL(9,E15:E22)</f>
        <v>17</v>
      </c>
      <c r="F23" s="1165">
        <f>SUBTOTAL(9,F15:F22)</f>
        <v>6112</v>
      </c>
      <c r="G23" s="1166">
        <f>SUBTOTAL(9,G16:G22)</f>
        <v>6189</v>
      </c>
      <c r="H23" s="1165">
        <f t="shared" ref="H23:O23" si="13">SUBTOTAL(9,H15:H22)</f>
        <v>0</v>
      </c>
      <c r="I23" s="1167">
        <f t="shared" si="13"/>
        <v>0</v>
      </c>
      <c r="J23" s="1167">
        <f t="shared" si="13"/>
        <v>0</v>
      </c>
      <c r="K23" s="1167">
        <f t="shared" si="13"/>
        <v>0</v>
      </c>
      <c r="L23" s="1167">
        <f t="shared" si="13"/>
        <v>2006</v>
      </c>
      <c r="M23" s="1167">
        <f t="shared" si="13"/>
        <v>0</v>
      </c>
      <c r="N23" s="1167">
        <f t="shared" si="13"/>
        <v>0</v>
      </c>
      <c r="O23" s="1168" t="e">
        <f t="shared" ca="1" si="13"/>
        <v>#VALUE!</v>
      </c>
      <c r="P23" s="1168"/>
      <c r="Q23" s="1169" t="str">
        <f>IF(ISNUMBER((N23*factor_trimestre)/((Datos!BT23+Datos!BU23)/2)),(N23*factor_trimestre)/((Datos!BT23+Datos!BU23)/2)," - ")</f>
        <v xml:space="preserve"> - </v>
      </c>
      <c r="R23" s="1170">
        <f>SUBTOTAL(9,R15:R22)</f>
        <v>0</v>
      </c>
      <c r="S23" s="1165">
        <f>SUBTOTAL(9,S15:S22)</f>
        <v>0</v>
      </c>
      <c r="T23" s="1171">
        <f>IF(ISNUMBER((S23*factor_trimestre)/DatosB!BM23),(S23*factor_trimestre)/DatosB!BM23,"-")</f>
        <v>0</v>
      </c>
      <c r="U23" s="1165" t="e">
        <f ca="1">SUBTOTAL(9,U15:U22)</f>
        <v>#VALUE!</v>
      </c>
      <c r="V23" s="1171" t="str">
        <f ca="1">IF(ISNUMBER((U23*factor_trimestre)/DatosB!CN23),(U23*factor_trimestre)/DatosB!CN23,"-")</f>
        <v>-</v>
      </c>
      <c r="W23" s="1167">
        <f t="shared" ref="W23:AK23" si="14">SUBTOTAL(9,W15:W22)</f>
        <v>76411</v>
      </c>
      <c r="X23" s="1167">
        <f t="shared" si="14"/>
        <v>2007</v>
      </c>
      <c r="Y23" s="1168">
        <f t="shared" si="14"/>
        <v>76438</v>
      </c>
      <c r="Z23" s="1168">
        <f t="shared" si="14"/>
        <v>0</v>
      </c>
      <c r="AA23" s="1168">
        <f t="shared" si="14"/>
        <v>5699</v>
      </c>
      <c r="AB23" s="1168">
        <f t="shared" si="14"/>
        <v>1135</v>
      </c>
      <c r="AC23" s="1168">
        <f t="shared" si="14"/>
        <v>6834</v>
      </c>
      <c r="AD23" s="1168">
        <f t="shared" si="14"/>
        <v>0</v>
      </c>
      <c r="AE23" s="1172">
        <f t="shared" si="14"/>
        <v>0</v>
      </c>
      <c r="AF23" s="1165">
        <f t="shared" si="14"/>
        <v>0</v>
      </c>
      <c r="AG23" s="1173">
        <f t="shared" si="14"/>
        <v>0</v>
      </c>
      <c r="AH23" s="1170">
        <f t="shared" si="14"/>
        <v>0</v>
      </c>
      <c r="AI23" s="1165">
        <f t="shared" si="14"/>
        <v>5910</v>
      </c>
      <c r="AJ23" s="1167">
        <f t="shared" si="14"/>
        <v>0</v>
      </c>
      <c r="AK23" s="1170">
        <f t="shared" si="14"/>
        <v>0</v>
      </c>
      <c r="AL23" s="1174">
        <f>IF(ISNUMBER(NºAsuntos!G23/NºAsuntos!E23),NºAsuntos!G23/NºAsuntos!E23," - ")</f>
        <v>1.0159280975363301</v>
      </c>
      <c r="AM23" s="1174">
        <f>IF(ISNUMBER(((NºAsuntos!I23/NºAsuntos!G23)*11)/factor_trimestre),((NºAsuntos!I23/NºAsuntos!G23)*11)/factor_trimestre," - ")</f>
        <v>0.82041852612843702</v>
      </c>
      <c r="AN23" s="1175">
        <f>IF(ISNUMBER('Resol  Asuntos'!D23/NºAsuntos!G23),'Resol  Asuntos'!D23/NºAsuntos!G23," - ")</f>
        <v>7.7344884898771116E-2</v>
      </c>
      <c r="AO23" s="1176">
        <f>IF(ISNUMBER((NºAsuntos!C23+NºAsuntos!E23)/NºAsuntos!G23),(NºAsuntos!C23+NºAsuntos!E23)/NºAsuntos!G23," - ")</f>
        <v>1.065317820732617</v>
      </c>
      <c r="AP23" s="1177" t="str">
        <f t="shared" si="2"/>
        <v xml:space="preserve"> - </v>
      </c>
      <c r="AQ23" s="1177">
        <f>IF(ISNUMBER((H23-W23+K23)/(F23)),(H23-W23+K23)/(F23)," - ")</f>
        <v>-12.501799738219896</v>
      </c>
      <c r="AR23" s="1178">
        <f>IF(ISNUMBER((Datos!P23-Datos!Q23)/(Datos!R23-Datos!P23+Datos!Q23)),(Datos!P23-Datos!Q23)/(Datos!R23-Datos!P23+Datos!Q23)," - ")</f>
        <v>-8.8028169014084509E-4</v>
      </c>
      <c r="AS23" s="1164">
        <f>SUBTOTAL(9,AS15:AS22)</f>
        <v>0</v>
      </c>
      <c r="AT23" s="1164">
        <f>SUBTOTAL(9,AT15:AT22)</f>
        <v>0</v>
      </c>
      <c r="AU23" s="1164">
        <f>SUBTOTAL(9,AU15:AU22)</f>
        <v>0</v>
      </c>
      <c r="AV23" s="1164">
        <f>SUBTOTAL(9,AV15:AV22)</f>
        <v>0</v>
      </c>
      <c r="AW23" s="1179"/>
      <c r="AX23" s="1164">
        <f>SUBTOTAL(9,AX15:AX22)</f>
        <v>0</v>
      </c>
      <c r="AY23" s="1330" t="e">
        <f>SUBTOTAL(9,AY15:AY22)</f>
        <v>#VALUE!</v>
      </c>
      <c r="BE23" s="164">
        <f t="shared" ref="BE23:BL23" si="15">SUM(BE15:BE22)</f>
        <v>0</v>
      </c>
      <c r="BF23" s="164">
        <f t="shared" si="15"/>
        <v>0</v>
      </c>
      <c r="BG23" s="164">
        <f t="shared" si="15"/>
        <v>0</v>
      </c>
      <c r="BH23" s="164">
        <f t="shared" si="15"/>
        <v>0</v>
      </c>
      <c r="BI23" s="164">
        <f t="shared" si="15"/>
        <v>0</v>
      </c>
      <c r="BJ23" s="164">
        <f t="shared" si="15"/>
        <v>0</v>
      </c>
      <c r="BK23" s="164">
        <f t="shared" si="15"/>
        <v>0</v>
      </c>
      <c r="BL23" s="164">
        <f t="shared" si="15"/>
        <v>0</v>
      </c>
    </row>
    <row r="24" spans="1:64" ht="15.75" thickTop="1">
      <c r="A24" s="192"/>
      <c r="B24" s="192"/>
      <c r="C24" s="73" t="str">
        <f>Datos!A24</f>
        <v xml:space="preserve">Jurisdicción Cont.-Admva.:                      </v>
      </c>
      <c r="D24" s="73"/>
      <c r="E24" s="261"/>
      <c r="F24" s="249"/>
      <c r="G24" s="250"/>
      <c r="H24" s="230"/>
      <c r="I24" s="231"/>
      <c r="J24" s="231"/>
      <c r="K24" s="231"/>
      <c r="L24" s="231"/>
      <c r="M24" s="231"/>
      <c r="N24" s="231"/>
      <c r="O24" s="231"/>
      <c r="P24" s="231"/>
      <c r="Q24" s="388"/>
      <c r="R24" s="231"/>
      <c r="S24" s="293"/>
      <c r="T24" s="391"/>
      <c r="U24" s="378"/>
      <c r="V24" s="390"/>
      <c r="W24" s="230"/>
      <c r="X24" s="231"/>
      <c r="Y24" s="231"/>
      <c r="Z24" s="231"/>
      <c r="AA24" s="230"/>
      <c r="AB24" s="231"/>
      <c r="AC24" s="231"/>
      <c r="AD24" s="231"/>
      <c r="AE24" s="376"/>
      <c r="AF24" s="249"/>
      <c r="AG24" s="251"/>
      <c r="AH24" s="252"/>
      <c r="AI24" s="249"/>
      <c r="AJ24" s="253"/>
      <c r="AK24" s="246"/>
      <c r="AL24" s="258"/>
      <c r="AM24" s="259"/>
      <c r="AN24" s="259"/>
      <c r="AO24" s="260"/>
      <c r="AP24" s="261"/>
      <c r="AQ24" s="261"/>
      <c r="AR24" s="334"/>
      <c r="AS24" s="340"/>
      <c r="AT24" s="261"/>
      <c r="AU24" s="261"/>
      <c r="AV24" s="261"/>
      <c r="AW24" s="327"/>
      <c r="AX24" s="327"/>
      <c r="AY24" s="1331"/>
      <c r="BE24" s="165"/>
      <c r="BF24" s="165"/>
      <c r="BG24" s="165"/>
      <c r="BH24" s="165"/>
      <c r="BI24" s="165"/>
      <c r="BJ24" s="165"/>
      <c r="BK24" s="165"/>
      <c r="BL24" s="165"/>
    </row>
    <row r="25" spans="1:64" ht="15" thickBot="1">
      <c r="A25" s="190">
        <f>Datos!AO25</f>
        <v>0</v>
      </c>
      <c r="B25" s="300" t="s">
        <v>516</v>
      </c>
      <c r="C25" s="7" t="str">
        <f>Datos!A25</f>
        <v xml:space="preserve">Jdos Cont.-Admvo.                               </v>
      </c>
      <c r="D25" s="7"/>
      <c r="E25" s="290">
        <f>IF(ISNUMBER(Datos!AQ25),Datos!AQ25," - ")</f>
        <v>0</v>
      </c>
      <c r="F25" s="239" t="str">
        <f>IF(ISNUMBER(Datos!L25+Datos!K25-Datos!J25-K25),Datos!L25+Datos!K25-Datos!J25-K25," - ")</f>
        <v xml:space="preserve"> - </v>
      </c>
      <c r="G25" s="373" t="str">
        <f>IF(ISNUMBER(Datos!I25),Datos!I25," - ")</f>
        <v xml:space="preserve"> - </v>
      </c>
      <c r="H25" s="239" t="str">
        <f>IF(ISNUMBER(Datos!DB25),Datos!DB25," - ")</f>
        <v xml:space="preserve"> - </v>
      </c>
      <c r="I25" s="240" t="str">
        <f>IF(ISNUMBER(Datos!DC25),Datos!DC25," - ")</f>
        <v xml:space="preserve"> - </v>
      </c>
      <c r="J25" s="240" t="str">
        <f>IF(ISNUMBER(Datos!DD25),Datos!DD25," - ")</f>
        <v xml:space="preserve"> - </v>
      </c>
      <c r="K25" s="240">
        <f>IF(ISNUMBER(Datos!DF25),Datos!DF25,0)</f>
        <v>0</v>
      </c>
      <c r="L25" s="240">
        <f>IF(ISNUMBER(Datos!P25),Datos!P25,0)</f>
        <v>0</v>
      </c>
      <c r="M25" s="240" t="str">
        <f>IF(ISNUMBER(Datos!DE25),Datos!DE25," - ")</f>
        <v xml:space="preserve"> - </v>
      </c>
      <c r="N25" s="240" t="str">
        <f>IF(ISNUMBER(H25),H25," - ")</f>
        <v xml:space="preserve"> - </v>
      </c>
      <c r="O25" s="374"/>
      <c r="P25" s="379" t="str">
        <f>IF(ISNUMBER((N25)/((BK25+BL25)/2)),(N25)/((BK25+BL25)/2)," - ")</f>
        <v xml:space="preserve"> - </v>
      </c>
      <c r="Q25" s="379" t="str">
        <f>IF(ISNUMBER((N25)/((BK25+BL25)/2)),(N25)/((BK25+BL25)/2)," - ")</f>
        <v xml:space="preserve"> - </v>
      </c>
      <c r="R25" s="241" t="str">
        <f>IF(ISNUMBER(Datos!CB25),Datos!CB25," - ")</f>
        <v xml:space="preserve"> - </v>
      </c>
      <c r="S25" s="239" t="str">
        <f>IF(ISNUMBER(Datos!BY25),Datos!BY25," - ")</f>
        <v xml:space="preserve"> - </v>
      </c>
      <c r="T25" s="379" t="str">
        <f>IF(ISNUMBER((S25*factor_trimestre)/DatosB!CN25),(S25*factor_trimestre)/DatosB!CN25,"-")</f>
        <v>-</v>
      </c>
      <c r="U25" s="324"/>
      <c r="V25" s="379">
        <f>IF(ISNUMBER((U25*factor_trimestre)/DatosB!CN25),(U25*factor_trimestre)/DatosB!CN25,"-")</f>
        <v>0</v>
      </c>
      <c r="W25" s="239" t="str">
        <f>IF(ISNUMBER(Datos!K25),Datos!K25," - ")</f>
        <v xml:space="preserve"> - </v>
      </c>
      <c r="X25" s="240" t="str">
        <f>IF(ISNUMBER(Datos!Q25),Datos!Q25," - ")</f>
        <v xml:space="preserve"> - </v>
      </c>
      <c r="Y25" s="374">
        <f>SUM(W25:X25)</f>
        <v>0</v>
      </c>
      <c r="Z25" s="375" t="str">
        <f>IF(ISNUMBER(Datos!CC25),Datos!CC25," - ")</f>
        <v xml:space="preserve"> - </v>
      </c>
      <c r="AA25" s="372" t="str">
        <f>IF(ISNUMBER(Datos!L25),Datos!L25,"-")</f>
        <v>-</v>
      </c>
      <c r="AB25" s="374" t="str">
        <f>IF(ISNUMBER(Datos!R25),Datos!R25," - ")</f>
        <v xml:space="preserve"> - </v>
      </c>
      <c r="AC25" s="374" t="str">
        <f>IF(ISNUMBER(AA25+AB25),AA25+AB25," - ")</f>
        <v xml:space="preserve"> - </v>
      </c>
      <c r="AD25" s="375" t="str">
        <f>IF(ISNUMBER(Datos!CD25),Datos!CD25," - ")</f>
        <v xml:space="preserve"> - </v>
      </c>
      <c r="AE25" s="243" t="str">
        <f>IF(ISNUMBER(Datos!BV25),Datos!BV25," - ")</f>
        <v xml:space="preserve"> - </v>
      </c>
      <c r="AF25" s="239" t="str">
        <f>IF(ISNUMBER(Datos!CK25),Datos!CK25," - ")</f>
        <v xml:space="preserve"> - </v>
      </c>
      <c r="AG25" s="324" t="str">
        <f>IF(ISNUMBER(Datos!CL25),Datos!CL25," - ")</f>
        <v xml:space="preserve"> - </v>
      </c>
      <c r="AH25" s="241" t="str">
        <f>IF(ISNUMBER(Datos!CM25),Datos!CM25," - ")</f>
        <v xml:space="preserve"> - </v>
      </c>
      <c r="AI25" s="239" t="str">
        <f>IF(ISNUMBER(Datos!M25),Datos!M25," - ")</f>
        <v xml:space="preserve"> - </v>
      </c>
      <c r="AJ25" s="245" t="str">
        <f>IF(ISNUMBER(Datos!BW25),Datos!BW25," - ")</f>
        <v xml:space="preserve"> - </v>
      </c>
      <c r="AK25" s="246" t="str">
        <f>IF(ISNUMBER(Datos!BX25),Datos!BX25," - ")</f>
        <v xml:space="preserve"> - </v>
      </c>
      <c r="AL25" s="266" t="str">
        <f>IF(ISNUMBER(NºAsuntos!G25/NºAsuntos!E25),NºAsuntos!G25/NºAsuntos!E25," - ")</f>
        <v xml:space="preserve"> - </v>
      </c>
      <c r="AM25" s="284" t="str">
        <f>IF(ISNUMBER(((NºAsuntos!I25/NºAsuntos!G25)*11)/factor_trimestre),((NºAsuntos!I25/NºAsuntos!G25)*11)/factor_trimestre," - ")</f>
        <v xml:space="preserve"> - </v>
      </c>
      <c r="AN25" s="267" t="str">
        <f>IF(ISNUMBER('Resol  Asuntos'!D25/NºAsuntos!G25),'Resol  Asuntos'!D25/NºAsuntos!G25," - ")</f>
        <v xml:space="preserve"> - </v>
      </c>
      <c r="AO25" s="268" t="str">
        <f>IF(ISNUMBER((NºAsuntos!C25+NºAsuntos!E25)/NºAsuntos!G25),(NºAsuntos!C25+NºAsuntos!E25)/NºAsuntos!G25," - ")</f>
        <v xml:space="preserve"> - </v>
      </c>
      <c r="AP25" s="244" t="str">
        <f t="shared" si="2"/>
        <v xml:space="preserve"> - </v>
      </c>
      <c r="AQ25" s="244" t="str">
        <f t="shared" ref="AQ25:AQ26" si="16">IF(ISNUMBER((H25-W25+K25)/(F25)),(H25-W25+K25)/(F25)," - ")</f>
        <v xml:space="preserve"> - </v>
      </c>
      <c r="AR25" s="332" t="str">
        <f>IF(ISNUMBER((Datos!P25-Datos!Q25+M25)/(Datos!R25-Datos!P25+Datos!Q25-M25)),(Datos!P25-Datos!Q25+M25)/(Datos!R25-Datos!P25+Datos!Q25-M25)," - ")</f>
        <v xml:space="preserve"> - </v>
      </c>
      <c r="AS25" s="290" t="str">
        <f>IF(ISNUMBER(Datos!CS25),Datos!CS25," - ")</f>
        <v xml:space="preserve"> - </v>
      </c>
      <c r="AT25" s="290" t="str">
        <f>IF(ISNUMBER(Datos!CI25),Datos!CI25," - ")</f>
        <v xml:space="preserve"> - </v>
      </c>
      <c r="AU25" s="290" t="str">
        <f>IF(ISNUMBER(Datos!CJ25),Datos!CJ25," - ")</f>
        <v xml:space="preserve"> - </v>
      </c>
      <c r="AV25" s="290" t="str">
        <f>IF(ISNUMBER(Datos!CW25),Datos!CW25," - ")</f>
        <v xml:space="preserve"> - </v>
      </c>
      <c r="AW25" s="290">
        <f>IF(ISNUMBER(Datos!CX25)," - ",Datos!CX25)</f>
        <v>0</v>
      </c>
      <c r="AX25" s="290" t="str">
        <f>IF(ISNUMBER(Datos!EO25),Datos!EO25," - ")</f>
        <v xml:space="preserve"> - </v>
      </c>
      <c r="AY25" s="1327" t="e">
        <f>(AX25/Datos!ER25)*factor_trimestre</f>
        <v>#VALUE!</v>
      </c>
      <c r="BE25" s="167">
        <f>Datos!BN25/factor_trimestre</f>
        <v>0</v>
      </c>
      <c r="BF25" s="167">
        <f>Datos!BO25/factor_trimestre</f>
        <v>0</v>
      </c>
      <c r="BG25" s="167">
        <f>Datos!BP25/factor_trimestre</f>
        <v>0</v>
      </c>
      <c r="BH25" s="167">
        <f>Datos!BQ25/factor_trimestre</f>
        <v>0</v>
      </c>
      <c r="BI25" s="167">
        <f>Datos!BR25/factor_trimestre</f>
        <v>0</v>
      </c>
      <c r="BJ25" s="167">
        <f>Datos!BS25/factor_trimestre</f>
        <v>0</v>
      </c>
      <c r="BK25" s="167">
        <f>Datos!BT25/factor_trimestre</f>
        <v>0</v>
      </c>
      <c r="BL25" s="167">
        <f>Datos!BU25/factor_trimestre</f>
        <v>0</v>
      </c>
    </row>
    <row r="26" spans="1:64" ht="15.75" thickTop="1" thickBot="1">
      <c r="A26" s="191"/>
      <c r="B26" s="191"/>
      <c r="C26" s="1163" t="str">
        <f>Datos!A26</f>
        <v>TOTAL</v>
      </c>
      <c r="D26" s="1163"/>
      <c r="E26" s="1164">
        <f>SUBTOTAL(9,E23:E25)</f>
        <v>0</v>
      </c>
      <c r="F26" s="1165">
        <f>SUBTOTAL(9,F25:F25)</f>
        <v>0</v>
      </c>
      <c r="G26" s="1165">
        <f>SUBTOTAL(9,G25:G25)</f>
        <v>0</v>
      </c>
      <c r="H26" s="1165">
        <f>SUBTOTAL(9,H25:H25)</f>
        <v>0</v>
      </c>
      <c r="I26" s="1170">
        <f>SUBTOTAL(9,I25:I25)</f>
        <v>0</v>
      </c>
      <c r="J26" s="1170">
        <f>SUBTOTAL(9,J25:J25)</f>
        <v>0</v>
      </c>
      <c r="K26" s="1170">
        <f>SUBTOTAL(9,K22:K25)</f>
        <v>0</v>
      </c>
      <c r="L26" s="1170">
        <f>SUBTOTAL(9,L25:L25)</f>
        <v>0</v>
      </c>
      <c r="M26" s="1170">
        <f>SUBTOTAL(9,M25:M25)</f>
        <v>0</v>
      </c>
      <c r="N26" s="1170">
        <f>SUBTOTAL(9,N25:N25)</f>
        <v>0</v>
      </c>
      <c r="O26" s="1180">
        <f>SUBTOTAL(9,O25:O25)</f>
        <v>0</v>
      </c>
      <c r="P26" s="1180"/>
      <c r="Q26" s="1181" t="str">
        <f>IF(ISNUMBER((N26*factor_trimestre)/((Datos!BT26+Datos!BU26)/2)),(N26*factor_trimestre)/((Datos!BT26+Datos!BU26)/2)," - ")</f>
        <v xml:space="preserve"> - </v>
      </c>
      <c r="R26" s="1170">
        <f>SUBTOTAL(9,R25:R25)</f>
        <v>0</v>
      </c>
      <c r="S26" s="1165">
        <f>SUBTOTAL(9,S23:S25)</f>
        <v>0</v>
      </c>
      <c r="T26" s="1171">
        <f>IF(ISNUMBER((S26*factor_trimestre)/DatosB!BM26),(S26*factor_trimestre)/DatosB!BM26,"-")</f>
        <v>0</v>
      </c>
      <c r="U26" s="1165">
        <f ca="1">SUBTOTAL(9,U23:U25)</f>
        <v>0</v>
      </c>
      <c r="V26" s="1171" t="str">
        <f ca="1">IF(ISNUMBER((U26*factor_trimestre)/DatosB!CN26),(U26*factor_trimestre)/DatosB!CN26,"-")</f>
        <v>-</v>
      </c>
      <c r="W26" s="1167">
        <f t="shared" ref="W26:AK26" si="17">SUBTOTAL(9,W25:W25)</f>
        <v>0</v>
      </c>
      <c r="X26" s="1167">
        <f t="shared" si="17"/>
        <v>0</v>
      </c>
      <c r="Y26" s="1168">
        <f t="shared" si="17"/>
        <v>0</v>
      </c>
      <c r="Z26" s="1168">
        <f t="shared" si="17"/>
        <v>0</v>
      </c>
      <c r="AA26" s="1168">
        <f t="shared" si="17"/>
        <v>0</v>
      </c>
      <c r="AB26" s="1168">
        <f t="shared" si="17"/>
        <v>0</v>
      </c>
      <c r="AC26" s="1168">
        <f t="shared" si="17"/>
        <v>0</v>
      </c>
      <c r="AD26" s="1168">
        <f t="shared" si="17"/>
        <v>0</v>
      </c>
      <c r="AE26" s="1172">
        <f t="shared" si="17"/>
        <v>0</v>
      </c>
      <c r="AF26" s="1165">
        <f t="shared" si="17"/>
        <v>0</v>
      </c>
      <c r="AG26" s="1173">
        <f t="shared" si="17"/>
        <v>0</v>
      </c>
      <c r="AH26" s="1170">
        <f t="shared" si="17"/>
        <v>0</v>
      </c>
      <c r="AI26" s="1165">
        <f t="shared" si="17"/>
        <v>0</v>
      </c>
      <c r="AJ26" s="1167">
        <f t="shared" si="17"/>
        <v>0</v>
      </c>
      <c r="AK26" s="1170">
        <f t="shared" si="17"/>
        <v>0</v>
      </c>
      <c r="AL26" s="1174" t="str">
        <f>IF(ISNUMBER(NºAsuntos!G26/NºAsuntos!E26),NºAsuntos!G26/NºAsuntos!E26," - ")</f>
        <v xml:space="preserve"> - </v>
      </c>
      <c r="AM26" s="1174" t="str">
        <f>IF(ISNUMBER(((NºAsuntos!I26/NºAsuntos!G26)*11)/factor_trimestre),((NºAsuntos!I26/NºAsuntos!G26)*11)/factor_trimestre," - ")</f>
        <v xml:space="preserve"> - </v>
      </c>
      <c r="AN26" s="1175" t="str">
        <f>IF(ISNUMBER('Resol  Asuntos'!D26/NºAsuntos!G26),'Resol  Asuntos'!D26/NºAsuntos!G26," - ")</f>
        <v xml:space="preserve"> - </v>
      </c>
      <c r="AO26" s="1176" t="str">
        <f>IF(ISNUMBER((NºAsuntos!C26+NºAsuntos!E26)/NºAsuntos!G26),(NºAsuntos!C26+NºAsuntos!E26)/NºAsuntos!G26," - ")</f>
        <v xml:space="preserve"> - </v>
      </c>
      <c r="AP26" s="1177" t="str">
        <f t="shared" si="2"/>
        <v xml:space="preserve"> - </v>
      </c>
      <c r="AQ26" s="1177" t="str">
        <f t="shared" si="16"/>
        <v xml:space="preserve"> - </v>
      </c>
      <c r="AR26" s="1178" t="str">
        <f>IF(ISNUMBER((Datos!P26-Datos!Q26)/(Datos!R26-Datos!P26+Datos!Q26)),(Datos!P26-Datos!Q26)/(Datos!R26-Datos!P26+Datos!Q26)," - ")</f>
        <v xml:space="preserve"> - </v>
      </c>
      <c r="AS26" s="1164">
        <f>SUBTOTAL(9,AS23:AS25)</f>
        <v>0</v>
      </c>
      <c r="AT26" s="1164">
        <f>SUBTOTAL(9,AT23:AT25)</f>
        <v>0</v>
      </c>
      <c r="AU26" s="1164">
        <f>SUBTOTAL(9,AU23:AU25)</f>
        <v>0</v>
      </c>
      <c r="AV26" s="1164">
        <f>SUBTOTAL(9,AV23:AV25)</f>
        <v>0</v>
      </c>
      <c r="AW26" s="1179"/>
      <c r="AX26" s="1164">
        <f>SUBTOTAL(9,AX23:AX25)</f>
        <v>0</v>
      </c>
      <c r="AY26" s="1330" t="e">
        <f>SUBTOTAL(9,AY23:AY25)</f>
        <v>#VALUE!</v>
      </c>
      <c r="BE26" s="164"/>
      <c r="BF26" s="164"/>
      <c r="BG26" s="164"/>
      <c r="BH26" s="164"/>
      <c r="BI26" s="164"/>
      <c r="BJ26" s="164"/>
      <c r="BK26" s="164"/>
      <c r="BL26" s="164"/>
    </row>
    <row r="27" spans="1:64" ht="15" thickTop="1">
      <c r="A27" s="192"/>
      <c r="B27" s="192"/>
      <c r="C27" s="73" t="str">
        <f>Datos!A27</f>
        <v xml:space="preserve">Jurisdicción Social:                            </v>
      </c>
      <c r="D27" s="73"/>
      <c r="E27" s="257"/>
      <c r="F27" s="249"/>
      <c r="G27" s="250"/>
      <c r="H27" s="230"/>
      <c r="I27" s="231"/>
      <c r="J27" s="231"/>
      <c r="K27" s="231"/>
      <c r="L27" s="231"/>
      <c r="M27" s="231"/>
      <c r="N27" s="231"/>
      <c r="O27" s="231"/>
      <c r="P27" s="231"/>
      <c r="Q27" s="388"/>
      <c r="R27" s="231"/>
      <c r="S27" s="292"/>
      <c r="T27" s="388"/>
      <c r="U27" s="306"/>
      <c r="V27" s="389"/>
      <c r="W27" s="230"/>
      <c r="X27" s="231"/>
      <c r="Y27" s="231"/>
      <c r="Z27" s="231"/>
      <c r="AA27" s="230"/>
      <c r="AB27" s="231"/>
      <c r="AC27" s="231"/>
      <c r="AD27" s="231"/>
      <c r="AE27" s="376"/>
      <c r="AF27" s="249"/>
      <c r="AG27" s="251"/>
      <c r="AH27" s="252"/>
      <c r="AI27" s="249"/>
      <c r="AJ27" s="253"/>
      <c r="AK27" s="246"/>
      <c r="AL27" s="254"/>
      <c r="AM27" s="255"/>
      <c r="AN27" s="255"/>
      <c r="AO27" s="256"/>
      <c r="AP27" s="257"/>
      <c r="AQ27" s="257"/>
      <c r="AR27" s="335"/>
      <c r="AS27" s="341"/>
      <c r="AT27" s="257"/>
      <c r="AU27" s="257"/>
      <c r="AV27" s="257"/>
      <c r="AW27" s="328"/>
      <c r="AX27" s="328"/>
      <c r="AY27" s="1332"/>
      <c r="BE27" s="165"/>
      <c r="BF27" s="165"/>
      <c r="BG27" s="165"/>
      <c r="BH27" s="165"/>
      <c r="BI27" s="165"/>
      <c r="BJ27" s="165"/>
      <c r="BK27" s="165"/>
      <c r="BL27" s="165"/>
    </row>
    <row r="28" spans="1:64" ht="14.25">
      <c r="A28" s="190">
        <f>Datos!AO28</f>
        <v>0</v>
      </c>
      <c r="B28" s="300" t="s">
        <v>517</v>
      </c>
      <c r="C28" s="7" t="str">
        <f>Datos!A28</f>
        <v xml:space="preserve">Jdos. de lo Social                              </v>
      </c>
      <c r="D28" s="7"/>
      <c r="E28" s="290">
        <f>IF(ISNUMBER(Datos!AQ28),Datos!AQ28," - ")</f>
        <v>0</v>
      </c>
      <c r="F28" s="239" t="str">
        <f>IF(ISNUMBER(Datos!L28+Datos!K28-Datos!J28-K28),Datos!L28+Datos!K28-Datos!J28-K28," - ")</f>
        <v xml:space="preserve"> - </v>
      </c>
      <c r="G28" s="373" t="str">
        <f>IF(ISNUMBER(Datos!I28),Datos!I28," - ")</f>
        <v xml:space="preserve"> - </v>
      </c>
      <c r="H28" s="239" t="str">
        <f>IF(ISNUMBER(Datos!DB28),Datos!DB28," - ")</f>
        <v xml:space="preserve"> - </v>
      </c>
      <c r="I28" s="240" t="str">
        <f>IF(ISNUMBER(Datos!DC28),Datos!DC28," - ")</f>
        <v xml:space="preserve"> - </v>
      </c>
      <c r="J28" s="240" t="str">
        <f>IF(ISNUMBER(Datos!DD28),Datos!DD28," - ")</f>
        <v xml:space="preserve"> - </v>
      </c>
      <c r="K28" s="240">
        <f>IF(ISNUMBER(Datos!DF28),Datos!DF28,0)</f>
        <v>0</v>
      </c>
      <c r="L28" s="240">
        <f>IF(ISNUMBER(Datos!P28),Datos!P28,0)</f>
        <v>0</v>
      </c>
      <c r="M28" s="240" t="str">
        <f>IF(ISNUMBER(Datos!DE28),Datos!DE28," - ")</f>
        <v xml:space="preserve"> - </v>
      </c>
      <c r="N28" s="240" t="str">
        <f>IF(ISNUMBER(H28),H28," - ")</f>
        <v xml:space="preserve"> - </v>
      </c>
      <c r="O28" s="374"/>
      <c r="P28" s="379" t="str">
        <f>IF(ISNUMBER((N28)/((BK28+BL28)/2)),(N28)/((BK28+BL28)/2)," - ")</f>
        <v xml:space="preserve"> - </v>
      </c>
      <c r="Q28" s="379" t="str">
        <f>IF(ISNUMBER((N28)/((BK28+BL28)/2)),(N28)/((BK28+BL28)/2)," - ")</f>
        <v xml:space="preserve"> - </v>
      </c>
      <c r="R28" s="241" t="str">
        <f>IF(ISNUMBER(Datos!CB28),Datos!CB28," - ")</f>
        <v xml:space="preserve"> - </v>
      </c>
      <c r="S28" s="239" t="str">
        <f>IF(ISNUMBER(Datos!BY28),Datos!BY28," - ")</f>
        <v xml:space="preserve"> - </v>
      </c>
      <c r="T28" s="379" t="str">
        <f>IF(ISNUMBER((S28*factor_trimestre)/DatosB!CN28),(S28*factor_trimestre)/DatosB!CN28,"-")</f>
        <v>-</v>
      </c>
      <c r="U28" s="324"/>
      <c r="V28" s="379" t="str">
        <f>IF(ISNUMBER((U28*factor_trimestre)/DatosB!CN28),(U28*factor_trimestre)/DatosB!CN28,"-")</f>
        <v>-</v>
      </c>
      <c r="W28" s="239" t="str">
        <f>IF(ISNUMBER(Datos!K28),Datos!K28," - ")</f>
        <v xml:space="preserve"> - </v>
      </c>
      <c r="X28" s="240" t="str">
        <f>IF(ISNUMBER(Datos!Q28),Datos!Q28," - ")</f>
        <v xml:space="preserve"> - </v>
      </c>
      <c r="Y28" s="374">
        <f>SUM(W28:X28)</f>
        <v>0</v>
      </c>
      <c r="Z28" s="375" t="str">
        <f>IF(ISNUMBER(Datos!CC28),Datos!CC28," - ")</f>
        <v xml:space="preserve"> - </v>
      </c>
      <c r="AA28" s="372" t="str">
        <f>IF(ISNUMBER(Datos!L28),Datos!L28,"-")</f>
        <v>-</v>
      </c>
      <c r="AB28" s="374" t="str">
        <f>IF(ISNUMBER(Datos!R28),Datos!R28," - ")</f>
        <v xml:space="preserve"> - </v>
      </c>
      <c r="AC28" s="374" t="str">
        <f>IF(ISNUMBER(AA28+AB28),AA28+AB28," - ")</f>
        <v xml:space="preserve"> - </v>
      </c>
      <c r="AD28" s="375" t="str">
        <f>IF(ISNUMBER(Datos!CD28),Datos!CD28," - ")</f>
        <v xml:space="preserve"> - </v>
      </c>
      <c r="AE28" s="243" t="str">
        <f>IF(ISNUMBER(Datos!BV28),Datos!BV28," - ")</f>
        <v xml:space="preserve"> - </v>
      </c>
      <c r="AF28" s="239" t="str">
        <f>IF(ISNUMBER(Datos!CK28),Datos!CK28," - ")</f>
        <v xml:space="preserve"> - </v>
      </c>
      <c r="AG28" s="324" t="str">
        <f>IF(ISNUMBER(Datos!CL28),Datos!CL28," - ")</f>
        <v xml:space="preserve"> - </v>
      </c>
      <c r="AH28" s="241" t="str">
        <f>IF(ISNUMBER(Datos!CM28),Datos!CM28," - ")</f>
        <v xml:space="preserve"> - </v>
      </c>
      <c r="AI28" s="239" t="str">
        <f>IF(ISNUMBER(Datos!M28),Datos!M28," - ")</f>
        <v xml:space="preserve"> - </v>
      </c>
      <c r="AJ28" s="245" t="str">
        <f>IF(ISNUMBER(Datos!BW28),Datos!BW28," - ")</f>
        <v xml:space="preserve"> - </v>
      </c>
      <c r="AK28" s="246" t="str">
        <f>IF(ISNUMBER(Datos!BX28),Datos!BX28," - ")</f>
        <v xml:space="preserve"> - </v>
      </c>
      <c r="AL28" s="266" t="str">
        <f>IF(ISNUMBER(NºAsuntos!G28/NºAsuntos!E28),NºAsuntos!G28/NºAsuntos!E28," - ")</f>
        <v xml:space="preserve"> - </v>
      </c>
      <c r="AM28" s="284" t="str">
        <f>IF(ISNUMBER(((NºAsuntos!I28/NºAsuntos!G28)*11)/factor_trimestre),((NºAsuntos!I28/NºAsuntos!G28)*11)/factor_trimestre," - ")</f>
        <v xml:space="preserve"> - </v>
      </c>
      <c r="AN28" s="267" t="str">
        <f>IF(ISNUMBER('Resol  Asuntos'!D28/NºAsuntos!G28),'Resol  Asuntos'!D28/NºAsuntos!G28," - ")</f>
        <v xml:space="preserve"> - </v>
      </c>
      <c r="AO28" s="268" t="str">
        <f>IF(ISNUMBER((NºAsuntos!C28+NºAsuntos!E28)/NºAsuntos!G28),(NºAsuntos!C28+NºAsuntos!E28)/NºAsuntos!G28," - ")</f>
        <v xml:space="preserve"> - </v>
      </c>
      <c r="AP28" s="244" t="str">
        <f t="shared" si="2"/>
        <v xml:space="preserve"> - </v>
      </c>
      <c r="AQ28" s="244" t="str">
        <f t="shared" ref="AQ28:AQ30" si="18">IF(ISNUMBER((H28-W28+K28)/(F28)),(H28-W28+K28)/(F28)," - ")</f>
        <v xml:space="preserve"> - </v>
      </c>
      <c r="AR28" s="332" t="str">
        <f>IF(ISNUMBER((Datos!P28-Datos!Q28+M28)/(Datos!R28-Datos!P28+Datos!Q28-M28)),(Datos!P28-Datos!Q28+M28)/(Datos!R28-Datos!P28+Datos!Q28-M28)," - ")</f>
        <v xml:space="preserve"> - </v>
      </c>
      <c r="AS28" s="290" t="str">
        <f>IF(ISNUMBER(Datos!CS28),Datos!CS28," - ")</f>
        <v xml:space="preserve"> - </v>
      </c>
      <c r="AT28" s="290" t="str">
        <f>IF(ISNUMBER(Datos!CI28),Datos!CI28," - ")</f>
        <v xml:space="preserve"> - </v>
      </c>
      <c r="AU28" s="290" t="str">
        <f>IF(ISNUMBER(Datos!CJ28),Datos!CJ28," - ")</f>
        <v xml:space="preserve"> - </v>
      </c>
      <c r="AV28" s="290" t="str">
        <f>IF(ISNUMBER(Datos!CW28),Datos!CW28," - ")</f>
        <v xml:space="preserve"> - </v>
      </c>
      <c r="AW28" s="290">
        <f>IF(ISNUMBER(Datos!CX28)," - ",Datos!CX28)</f>
        <v>0</v>
      </c>
      <c r="AX28" s="290" t="str">
        <f>IF(ISNUMBER(Datos!EO28),Datos!EO28," - ")</f>
        <v xml:space="preserve"> - </v>
      </c>
      <c r="AY28" s="1327" t="e">
        <f>(AX28/Datos!ER28)*factor_trimestre</f>
        <v>#VALUE!</v>
      </c>
      <c r="BE28" s="167">
        <f>Datos!BN28/factor_trimestre</f>
        <v>0</v>
      </c>
      <c r="BF28" s="167">
        <f>Datos!BO28/factor_trimestre</f>
        <v>0</v>
      </c>
      <c r="BG28" s="167">
        <f>Datos!BP28/factor_trimestre</f>
        <v>0</v>
      </c>
      <c r="BH28" s="167">
        <f>Datos!BQ28/factor_trimestre</f>
        <v>0</v>
      </c>
      <c r="BI28" s="167">
        <f>Datos!BR28/factor_trimestre</f>
        <v>0</v>
      </c>
      <c r="BJ28" s="167">
        <f>Datos!BS28/factor_trimestre</f>
        <v>0</v>
      </c>
      <c r="BK28" s="167">
        <f>Datos!BT28/factor_trimestre</f>
        <v>0</v>
      </c>
      <c r="BL28" s="167">
        <f>Datos!BU28/factor_trimestre</f>
        <v>0</v>
      </c>
    </row>
    <row r="29" spans="1:64" ht="15" thickBot="1">
      <c r="A29" s="190">
        <f>Datos!AO29</f>
        <v>0</v>
      </c>
      <c r="B29" s="300" t="s">
        <v>517</v>
      </c>
      <c r="C29" s="7" t="str">
        <f>Datos!A29</f>
        <v>Jdos. De lo Social de Ejecuciones</v>
      </c>
      <c r="D29" s="7"/>
      <c r="E29" s="290">
        <f>IF(ISNUMBER(Datos!AQ29),Datos!AQ29," - ")</f>
        <v>0</v>
      </c>
      <c r="F29" s="239" t="str">
        <f>IF(ISNUMBER(Datos!L29+Datos!K29-Datos!J29-K29),Datos!L29+Datos!K29-Datos!J29-K29," - ")</f>
        <v xml:space="preserve"> - </v>
      </c>
      <c r="G29" s="373" t="str">
        <f>IF(ISNUMBER(Datos!I29),Datos!I29," - ")</f>
        <v xml:space="preserve"> - </v>
      </c>
      <c r="H29" s="239" t="str">
        <f>IF(ISNUMBER(Datos!DB29),Datos!DB29," - ")</f>
        <v xml:space="preserve"> - </v>
      </c>
      <c r="I29" s="240" t="str">
        <f>IF(ISNUMBER(Datos!DC29),Datos!DC29," - ")</f>
        <v xml:space="preserve"> - </v>
      </c>
      <c r="J29" s="240" t="str">
        <f>IF(ISNUMBER(Datos!DD29),Datos!DD29," - ")</f>
        <v xml:space="preserve"> - </v>
      </c>
      <c r="K29" s="240">
        <f>IF(ISNUMBER(Datos!DF29),Datos!DF29,0)</f>
        <v>0</v>
      </c>
      <c r="L29" s="240">
        <f>IF(ISNUMBER(Datos!P29),Datos!P29,0)</f>
        <v>0</v>
      </c>
      <c r="M29" s="240" t="str">
        <f>IF(ISNUMBER(Datos!DE29),Datos!DE29," - ")</f>
        <v xml:space="preserve"> - </v>
      </c>
      <c r="N29" s="240" t="str">
        <f>IF(ISNUMBER(H29),H29," - ")</f>
        <v xml:space="preserve"> - </v>
      </c>
      <c r="O29" s="374"/>
      <c r="P29" s="379" t="str">
        <f>IF(ISNUMBER((N29)/((BK29+BL29)/2)),(N29)/((BK29+BL29)/2)," - ")</f>
        <v xml:space="preserve"> - </v>
      </c>
      <c r="Q29" s="379" t="str">
        <f>IF(ISNUMBER((N29)/((BK29+BL29)/2)),(N29)/((BK29+BL29)/2)," - ")</f>
        <v xml:space="preserve"> - </v>
      </c>
      <c r="R29" s="241" t="str">
        <f>IF(ISNUMBER(Datos!CB29),Datos!CB29," - ")</f>
        <v xml:space="preserve"> - </v>
      </c>
      <c r="S29" s="239" t="str">
        <f>IF(ISNUMBER(Datos!BY29),Datos!BY29," - ")</f>
        <v xml:space="preserve"> - </v>
      </c>
      <c r="T29" s="379" t="str">
        <f>IF(ISNUMBER((S29*factor_trimestre)/DatosB!CN29),(S29*factor_trimestre)/DatosB!CN29,"-")</f>
        <v>-</v>
      </c>
      <c r="U29" s="324"/>
      <c r="V29" s="379">
        <f>IF(ISNUMBER((U29*factor_trimestre)/DatosB!CN29),(U29*factor_trimestre)/DatosB!CN29,"-")</f>
        <v>0</v>
      </c>
      <c r="W29" s="239" t="str">
        <f>IF(ISNUMBER(Datos!K29),Datos!K29," - ")</f>
        <v xml:space="preserve"> - </v>
      </c>
      <c r="X29" s="240" t="str">
        <f>IF(ISNUMBER(Datos!Q29),Datos!Q29," - ")</f>
        <v xml:space="preserve"> - </v>
      </c>
      <c r="Y29" s="374">
        <f>SUM(W29:X29)</f>
        <v>0</v>
      </c>
      <c r="Z29" s="375" t="str">
        <f>IF(ISNUMBER(Datos!CC29),Datos!CC29," - ")</f>
        <v xml:space="preserve"> - </v>
      </c>
      <c r="AA29" s="372" t="str">
        <f>IF(ISNUMBER(Datos!L29),Datos!L29,"-")</f>
        <v>-</v>
      </c>
      <c r="AB29" s="374" t="str">
        <f>IF(ISNUMBER(Datos!R29),Datos!R29," - ")</f>
        <v xml:space="preserve"> - </v>
      </c>
      <c r="AC29" s="374" t="str">
        <f>IF(ISNUMBER(AA29+AB29),AA29+AB29," - ")</f>
        <v xml:space="preserve"> - </v>
      </c>
      <c r="AD29" s="375" t="str">
        <f>IF(ISNUMBER(Datos!CD29),Datos!CD29," - ")</f>
        <v xml:space="preserve"> - </v>
      </c>
      <c r="AE29" s="243" t="str">
        <f>IF(ISNUMBER(Datos!BV29),Datos!BV29," - ")</f>
        <v xml:space="preserve"> - </v>
      </c>
      <c r="AF29" s="239" t="str">
        <f>IF(ISNUMBER(Datos!CK29),Datos!CK29," - ")</f>
        <v xml:space="preserve"> - </v>
      </c>
      <c r="AG29" s="324" t="str">
        <f>IF(ISNUMBER(Datos!CL29),Datos!CL29," - ")</f>
        <v xml:space="preserve"> - </v>
      </c>
      <c r="AH29" s="241" t="str">
        <f>IF(ISNUMBER(Datos!CM29),Datos!CM29," - ")</f>
        <v xml:space="preserve"> - </v>
      </c>
      <c r="AI29" s="239" t="str">
        <f>IF(ISNUMBER(Datos!M29),Datos!M29," - ")</f>
        <v xml:space="preserve"> - </v>
      </c>
      <c r="AJ29" s="245" t="str">
        <f>IF(ISNUMBER(Datos!BW29),Datos!BW29," - ")</f>
        <v xml:space="preserve"> - </v>
      </c>
      <c r="AK29" s="246" t="str">
        <f>IF(ISNUMBER(Datos!BX29),Datos!BX29," - ")</f>
        <v xml:space="preserve"> - </v>
      </c>
      <c r="AL29" s="266" t="str">
        <f>IF(ISNUMBER(NºAsuntos!G29/NºAsuntos!E29),NºAsuntos!G29/NºAsuntos!E29," - ")</f>
        <v xml:space="preserve"> - </v>
      </c>
      <c r="AM29" s="284" t="str">
        <f>IF(ISNUMBER(((NºAsuntos!I29/NºAsuntos!G29)*11)/factor_trimestre),((NºAsuntos!I29/NºAsuntos!G29)*11)/factor_trimestre," - ")</f>
        <v xml:space="preserve"> - </v>
      </c>
      <c r="AN29" s="267" t="str">
        <f>IF(ISNUMBER('Resol  Asuntos'!D29/NºAsuntos!G29),'Resol  Asuntos'!D29/NºAsuntos!G29," - ")</f>
        <v xml:space="preserve"> - </v>
      </c>
      <c r="AO29" s="268" t="str">
        <f>IF(ISNUMBER((NºAsuntos!C29+NºAsuntos!E29)/NºAsuntos!G29),(NºAsuntos!C29+NºAsuntos!E29)/NºAsuntos!G29," - ")</f>
        <v xml:space="preserve"> - </v>
      </c>
      <c r="AP29" s="244" t="str">
        <f t="shared" si="2"/>
        <v xml:space="preserve"> - </v>
      </c>
      <c r="AQ29" s="244" t="str">
        <f t="shared" si="18"/>
        <v xml:space="preserve"> - </v>
      </c>
      <c r="AR29" s="332" t="str">
        <f>IF(ISNUMBER((Datos!P29-Datos!Q29+M29)/(Datos!R29-Datos!P29+Datos!Q29-M29)),(Datos!P29-Datos!Q29+M29)/(Datos!R29-Datos!P29+Datos!Q29-M29)," - ")</f>
        <v xml:space="preserve"> - </v>
      </c>
      <c r="AS29" s="290" t="str">
        <f>IF(ISNUMBER(Datos!CS29),Datos!CS29," - ")</f>
        <v xml:space="preserve"> - </v>
      </c>
      <c r="AT29" s="290" t="str">
        <f>IF(ISNUMBER(Datos!CI29),Datos!CI29," - ")</f>
        <v xml:space="preserve"> - </v>
      </c>
      <c r="AU29" s="290" t="str">
        <f>IF(ISNUMBER(Datos!CJ29),Datos!CJ29," - ")</f>
        <v xml:space="preserve"> - </v>
      </c>
      <c r="AV29" s="290" t="str">
        <f>IF(ISNUMBER(Datos!CW29),Datos!CW29," - ")</f>
        <v xml:space="preserve"> - </v>
      </c>
      <c r="AW29" s="290">
        <f>IF(ISNUMBER(Datos!CX29)," - ",Datos!CX29)</f>
        <v>0</v>
      </c>
      <c r="AX29" s="290" t="str">
        <f>IF(ISNUMBER(Datos!ET29),Datos!ET29," - ")</f>
        <v xml:space="preserve"> - </v>
      </c>
      <c r="AY29" s="1327" t="e">
        <f>(AX29/Datos!ER29)*factor_trimestre</f>
        <v>#VALUE!</v>
      </c>
      <c r="BE29" s="167">
        <f>Datos!BN29/factor_trimestre</f>
        <v>0</v>
      </c>
      <c r="BF29" s="167">
        <f>Datos!BO29/factor_trimestre</f>
        <v>0</v>
      </c>
      <c r="BG29" s="167">
        <f>Datos!BP29/factor_trimestre</f>
        <v>0</v>
      </c>
      <c r="BH29" s="167">
        <f>Datos!BQ29/factor_trimestre</f>
        <v>0</v>
      </c>
      <c r="BI29" s="167">
        <f>Datos!BR29/factor_trimestre</f>
        <v>0</v>
      </c>
      <c r="BJ29" s="167">
        <f>Datos!BS29/factor_trimestre</f>
        <v>0</v>
      </c>
      <c r="BK29" s="167">
        <f>Datos!BT29/factor_trimestre</f>
        <v>0</v>
      </c>
      <c r="BL29" s="167">
        <f>Datos!BU29/factor_trimestre</f>
        <v>0</v>
      </c>
    </row>
    <row r="30" spans="1:64" ht="15.75" thickTop="1" thickBot="1">
      <c r="A30" s="191"/>
      <c r="B30" s="191"/>
      <c r="C30" s="1163" t="str">
        <f>Datos!A30</f>
        <v>TOTAL</v>
      </c>
      <c r="D30" s="1163"/>
      <c r="E30" s="1164">
        <f>SUBTOTAL(9,E25:E29)</f>
        <v>0</v>
      </c>
      <c r="F30" s="1165">
        <f>SUBTOTAL(9,F28:F29)</f>
        <v>0</v>
      </c>
      <c r="G30" s="1165">
        <f>SUBTOTAL(9,G28:G29)</f>
        <v>0</v>
      </c>
      <c r="H30" s="1165">
        <f>SUBTOTAL(9,H28:H29)</f>
        <v>0</v>
      </c>
      <c r="I30" s="1170">
        <f>SUBTOTAL(9,I28:I29)</f>
        <v>0</v>
      </c>
      <c r="J30" s="1170">
        <f>SUBTOTAL(9,J28:J29)</f>
        <v>0</v>
      </c>
      <c r="K30" s="1170">
        <f>SUBTOTAL(9,K23:K29)</f>
        <v>0</v>
      </c>
      <c r="L30" s="1170">
        <f>SUBTOTAL(9,L28:L29)</f>
        <v>0</v>
      </c>
      <c r="M30" s="1170">
        <f>SUBTOTAL(9,M28:M29)</f>
        <v>0</v>
      </c>
      <c r="N30" s="1170">
        <f>SUBTOTAL(9,N28:N29)</f>
        <v>0</v>
      </c>
      <c r="O30" s="1180">
        <f>SUBTOTAL(9,O28:O29)</f>
        <v>0</v>
      </c>
      <c r="P30" s="1180"/>
      <c r="Q30" s="1181" t="str">
        <f>IF(ISNUMBER((N30*factor_trimestre)/((Datos!BT30+Datos!BU30)/2)),(N30*factor_trimestre)/((Datos!BT30+Datos!BU30)/2)," - ")</f>
        <v xml:space="preserve"> - </v>
      </c>
      <c r="R30" s="1170">
        <f>SUBTOTAL(9,R28:R29)</f>
        <v>0</v>
      </c>
      <c r="S30" s="1165">
        <f>SUBTOTAL(9,S25:S29)</f>
        <v>0</v>
      </c>
      <c r="T30" s="1171">
        <f>IF(ISNUMBER((S30*factor_trimestre)/DatosB!BM30),(S30*factor_trimestre)/DatosB!BM30,"-")</f>
        <v>0</v>
      </c>
      <c r="U30" s="1165">
        <f ca="1">SUBTOTAL(9,U24:U29)</f>
        <v>0</v>
      </c>
      <c r="V30" s="1171" t="str">
        <f ca="1">IF(ISNUMBER((U30*factor_trimestre)/DatosB!CN30),(U30*factor_trimestre)/DatosB!CN30,"-")</f>
        <v>-</v>
      </c>
      <c r="W30" s="1167">
        <f t="shared" ref="W30:AK30" si="19">SUBTOTAL(9,W28:W29)</f>
        <v>0</v>
      </c>
      <c r="X30" s="1167">
        <f t="shared" si="19"/>
        <v>0</v>
      </c>
      <c r="Y30" s="1168">
        <f t="shared" si="19"/>
        <v>0</v>
      </c>
      <c r="Z30" s="1168">
        <f t="shared" si="19"/>
        <v>0</v>
      </c>
      <c r="AA30" s="1168">
        <f t="shared" si="19"/>
        <v>0</v>
      </c>
      <c r="AB30" s="1168">
        <f t="shared" si="19"/>
        <v>0</v>
      </c>
      <c r="AC30" s="1168">
        <f t="shared" si="19"/>
        <v>0</v>
      </c>
      <c r="AD30" s="1168">
        <f t="shared" si="19"/>
        <v>0</v>
      </c>
      <c r="AE30" s="1172">
        <f t="shared" si="19"/>
        <v>0</v>
      </c>
      <c r="AF30" s="1165">
        <f t="shared" si="19"/>
        <v>0</v>
      </c>
      <c r="AG30" s="1173">
        <f t="shared" si="19"/>
        <v>0</v>
      </c>
      <c r="AH30" s="1170">
        <f t="shared" si="19"/>
        <v>0</v>
      </c>
      <c r="AI30" s="1165">
        <f t="shared" si="19"/>
        <v>0</v>
      </c>
      <c r="AJ30" s="1167">
        <f t="shared" si="19"/>
        <v>0</v>
      </c>
      <c r="AK30" s="1170">
        <f t="shared" si="19"/>
        <v>0</v>
      </c>
      <c r="AL30" s="1174" t="str">
        <f>IF(ISNUMBER(NºAsuntos!G30/NºAsuntos!E30),NºAsuntos!G30/NºAsuntos!E30," - ")</f>
        <v xml:space="preserve"> - </v>
      </c>
      <c r="AM30" s="1174" t="str">
        <f>IF(ISNUMBER(((NºAsuntos!I30/NºAsuntos!G30)*11)/factor_trimestre),((NºAsuntos!I30/NºAsuntos!G30)*11)/factor_trimestre," - ")</f>
        <v xml:space="preserve"> - </v>
      </c>
      <c r="AN30" s="1175" t="str">
        <f>IF(ISNUMBER('Resol  Asuntos'!D30/NºAsuntos!G30),'Resol  Asuntos'!D30/NºAsuntos!G30," - ")</f>
        <v xml:space="preserve"> - </v>
      </c>
      <c r="AO30" s="1176" t="str">
        <f>IF(ISNUMBER((NºAsuntos!C30+NºAsuntos!E30)/NºAsuntos!G30),(NºAsuntos!C30+NºAsuntos!E30)/NºAsuntos!G30," - ")</f>
        <v xml:space="preserve"> - </v>
      </c>
      <c r="AP30" s="1177" t="str">
        <f t="shared" si="2"/>
        <v xml:space="preserve"> - </v>
      </c>
      <c r="AQ30" s="1177" t="str">
        <f t="shared" si="18"/>
        <v xml:space="preserve"> - </v>
      </c>
      <c r="AR30" s="1178" t="str">
        <f>IF(ISNUMBER((Datos!P30-Datos!Q30)/(Datos!R30-Datos!P30+Datos!Q30)),(Datos!P30-Datos!Q30)/(Datos!R30-Datos!P30+Datos!Q30)," - ")</f>
        <v xml:space="preserve"> - </v>
      </c>
      <c r="AS30" s="1164">
        <f>SUBTOTAL(9,AS25:AS29)</f>
        <v>0</v>
      </c>
      <c r="AT30" s="1164">
        <f>SUBTOTAL(9,AT25:AT29)</f>
        <v>0</v>
      </c>
      <c r="AU30" s="1164">
        <f>SUBTOTAL(9,AU25:AU29)</f>
        <v>0</v>
      </c>
      <c r="AV30" s="1164">
        <f>SUBTOTAL(9,AV25:AV29)</f>
        <v>0</v>
      </c>
      <c r="AW30" s="1179"/>
      <c r="AX30" s="1164">
        <f>SUBTOTAL(9,AX25:AX29)</f>
        <v>0</v>
      </c>
      <c r="AY30" s="1330" t="e">
        <f>SUBTOTAL(9,AY25:AY29)</f>
        <v>#VALUE!</v>
      </c>
      <c r="BE30" s="164"/>
      <c r="BF30" s="164"/>
      <c r="BG30" s="164"/>
      <c r="BH30" s="164"/>
      <c r="BI30" s="164"/>
      <c r="BJ30" s="164"/>
      <c r="BK30" s="164"/>
      <c r="BL30" s="164"/>
    </row>
    <row r="31" spans="1:64" ht="18.75" customHeight="1" thickTop="1" thickBot="1">
      <c r="A31" s="185"/>
      <c r="B31" s="185"/>
      <c r="C31" s="1118" t="str">
        <f>Datos!A31</f>
        <v>TOTAL JURISDICCIONES</v>
      </c>
      <c r="D31" s="1119"/>
      <c r="E31" s="1182">
        <f t="shared" ref="E31:O31" si="20">SUBTOTAL(9,E9:E30)</f>
        <v>41</v>
      </c>
      <c r="F31" s="1120">
        <f t="shared" si="20"/>
        <v>6377</v>
      </c>
      <c r="G31" s="1121">
        <f t="shared" si="20"/>
        <v>6449</v>
      </c>
      <c r="H31" s="1120">
        <f t="shared" si="20"/>
        <v>0</v>
      </c>
      <c r="I31" s="1122">
        <f t="shared" si="20"/>
        <v>0</v>
      </c>
      <c r="J31" s="1122">
        <f t="shared" si="20"/>
        <v>0</v>
      </c>
      <c r="K31" s="1183">
        <f t="shared" si="20"/>
        <v>0</v>
      </c>
      <c r="L31" s="1122">
        <f t="shared" si="20"/>
        <v>9708</v>
      </c>
      <c r="M31" s="1122">
        <f t="shared" si="20"/>
        <v>0</v>
      </c>
      <c r="N31" s="1122">
        <f t="shared" si="20"/>
        <v>0</v>
      </c>
      <c r="O31" s="1122" t="e">
        <f t="shared" ca="1" si="20"/>
        <v>#VALUE!</v>
      </c>
      <c r="P31" s="1183" t="str">
        <f>IF(ISNUMBER((N31*factor_trimestre)/((Datos!BT31+Datos!BU31)/2)),(N31*factor_trimestre)/((Datos!BT31+Datos!BU31)/2)," - ")</f>
        <v xml:space="preserve"> - </v>
      </c>
      <c r="Q31" s="1184" t="str">
        <f>IF(ISNUMBER((N31*factor_trimestre)/((Datos!BT31+Datos!BU31)/2)),(N31*factor_trimestre)/((Datos!BT31+Datos!BU31)/2)," - ")</f>
        <v xml:space="preserve"> - </v>
      </c>
      <c r="R31" s="1122">
        <f>SUBTOTAL(9,R9:R30)</f>
        <v>0</v>
      </c>
      <c r="S31" s="1120">
        <f>SUBTOTAL(9,S9:S30)</f>
        <v>0</v>
      </c>
      <c r="T31" s="1126" t="str">
        <f>IF(ISNUMBER((S31*factor_trimestre)/DatosB!CN31),(S31*factor_trimestre)/DatosB!CN31,"-")</f>
        <v>-</v>
      </c>
      <c r="U31" s="1130" t="e">
        <f ca="1">SUBTOTAL(9,U9:U30)</f>
        <v>#VALUE!</v>
      </c>
      <c r="V31" s="1185" t="str">
        <f ca="1">IF(ISNUMBER((U31*factor_trimestre)/DatosB!CN31),(U31*factor_trimestre)/DatosB!CN31,"-")</f>
        <v>-</v>
      </c>
      <c r="W31" s="1121">
        <f t="shared" ref="W31:AK31" si="21">SUBTOTAL(9,W9:W30)</f>
        <v>76943</v>
      </c>
      <c r="X31" s="1121">
        <f t="shared" si="21"/>
        <v>12119</v>
      </c>
      <c r="Y31" s="1128">
        <f t="shared" si="21"/>
        <v>87082</v>
      </c>
      <c r="Z31" s="1128">
        <f t="shared" si="21"/>
        <v>0</v>
      </c>
      <c r="AA31" s="1128">
        <f t="shared" si="21"/>
        <v>5903</v>
      </c>
      <c r="AB31" s="1128">
        <f t="shared" si="21"/>
        <v>25537</v>
      </c>
      <c r="AC31" s="1128">
        <f t="shared" si="21"/>
        <v>7323</v>
      </c>
      <c r="AD31" s="1128">
        <f t="shared" si="21"/>
        <v>0</v>
      </c>
      <c r="AE31" s="1130">
        <f t="shared" si="21"/>
        <v>0</v>
      </c>
      <c r="AF31" s="1131">
        <f t="shared" si="21"/>
        <v>0</v>
      </c>
      <c r="AG31" s="1132">
        <f t="shared" si="21"/>
        <v>0</v>
      </c>
      <c r="AH31" s="1130">
        <f t="shared" si="21"/>
        <v>0</v>
      </c>
      <c r="AI31" s="1120">
        <f t="shared" si="21"/>
        <v>17857</v>
      </c>
      <c r="AJ31" s="1120">
        <f t="shared" si="21"/>
        <v>0</v>
      </c>
      <c r="AK31" s="1130">
        <f t="shared" si="21"/>
        <v>0</v>
      </c>
      <c r="AL31" s="1186">
        <f>IF(ISNUMBER(NºAsuntos!G31/NºAsuntos!E31),NºAsuntos!G31/NºAsuntos!E31," - ")</f>
        <v>1.0236648544931244</v>
      </c>
      <c r="AM31" s="1187">
        <f>IF(ISNUMBER(((NºAsuntos!I31/NºAsuntos!G31)*11)/factor_trimestre),((NºAsuntos!I31/NºAsuntos!G31)*11)/factor_trimestre," - ")</f>
        <v>2.933984445650208</v>
      </c>
      <c r="AN31" s="1187">
        <f>IF(ISNUMBER('Resol  Asuntos'!D31/NºAsuntos!G31),'Resol  Asuntos'!D31/NºAsuntos!G31," - ")</f>
        <v>0.14680445255594468</v>
      </c>
      <c r="AO31" s="1188">
        <f>IF(ISNUMBER((NºAsuntos!C31+NºAsuntos!E31)/NºAsuntos!G31),(NºAsuntos!C31+NºAsuntos!E31)/NºAsuntos!G31," - ")</f>
        <v>1.2463046087571319</v>
      </c>
      <c r="AP31" s="1189" t="str">
        <f t="shared" si="2"/>
        <v xml:space="preserve"> - </v>
      </c>
      <c r="AQ31" s="1190">
        <f>IF(OR(ISNUMBER(FIND("01",Criterios!A8,1)),ISNUMBER(FIND("02",Criterios!A8,1)),ISNUMBER(FIND("03",Criterios!A8,1)),ISNUMBER(FIND("04",Criterios!A8,1))),(I31-W31+K31)/(F31-K31),(H31-W31+K31)/(F31-K31))</f>
        <v>-12.065704876901364</v>
      </c>
      <c r="AR31" s="1191">
        <f>IF(ISNUMBER((Datos!P31-Datos!Q31)/(Datos!R31-Datos!P31+Datos!Q31)),(Datos!P31-Datos!Q31)/(Datos!R31-Datos!P31+Datos!Q31)," - ")</f>
        <v>-8.6267353656791182E-2</v>
      </c>
      <c r="AS31" s="1135">
        <f>SUBTOTAL(9,AS9:AS30)</f>
        <v>0</v>
      </c>
      <c r="AT31" s="1182">
        <f>SUBTOTAL(9,AT9:AT30)</f>
        <v>0</v>
      </c>
      <c r="AU31" s="1182">
        <f>SUBTOTAL(9,AU9:AU30)</f>
        <v>0</v>
      </c>
      <c r="AV31" s="1182">
        <f>SUBTOTAL(9,AV9:AV30)</f>
        <v>0</v>
      </c>
      <c r="AW31" s="1136"/>
      <c r="AX31" s="1182">
        <f>SUBTOTAL(9,AX9:AX30)</f>
        <v>0</v>
      </c>
      <c r="AY31" s="1333" t="e">
        <f>SUBTOTAL(9,AY9:AY30)</f>
        <v>#VALUE!</v>
      </c>
      <c r="BE31" s="166">
        <f t="shared" ref="BE31:BL31" si="22">SUM(BE9:BE30)</f>
        <v>0</v>
      </c>
      <c r="BF31" s="166">
        <f t="shared" si="22"/>
        <v>0</v>
      </c>
      <c r="BG31" s="166">
        <f t="shared" si="22"/>
        <v>0</v>
      </c>
      <c r="BH31" s="166">
        <f t="shared" si="22"/>
        <v>0</v>
      </c>
      <c r="BI31" s="166">
        <f t="shared" si="22"/>
        <v>0</v>
      </c>
      <c r="BJ31" s="166">
        <f t="shared" si="22"/>
        <v>0</v>
      </c>
      <c r="BK31" s="166">
        <f t="shared" si="22"/>
        <v>0</v>
      </c>
      <c r="BL31" s="166">
        <f t="shared" si="22"/>
        <v>0</v>
      </c>
    </row>
    <row r="32" spans="1:64" ht="18.75" customHeight="1" thickTop="1" thickBot="1">
      <c r="A32" s="180"/>
      <c r="B32" s="180"/>
      <c r="C32" s="1138" t="s">
        <v>344</v>
      </c>
      <c r="D32" s="1139"/>
      <c r="E32" s="1192">
        <f ca="1">IF(ISNUMBER(SUMIF($B8:$B30,$B32,E8:E30)/INDIRECT("Datos!AP"&amp;ROW()-1)),SUMIF($B8:$B30,$B32,E8:E30)/INDIRECT("Datos!AP"&amp;ROW()-1),"-")</f>
        <v>0</v>
      </c>
      <c r="F32" s="1106">
        <f ca="1">IF(ISNUMBER(SUMIF($B8:$B30,$B32,F8:F30)/INDIRECT("Datos!AP"&amp;ROW()-1)),SUMIF($B8:$B30,$B32,F8:F30)/INDIRECT("Datos!AP"&amp;ROW()-1),"-")</f>
        <v>0</v>
      </c>
      <c r="G32" s="1107">
        <f>IF(ISNUMBER(AVERAGE(G8:G30)),AVERAGE(G8:G30),"-")</f>
        <v>1842.5714285714287</v>
      </c>
      <c r="H32" s="1106">
        <f t="shared" ref="H32:AO32" ca="1" si="23">IF(ISNUMBER(SUMIF($B8:$B30,$B32,H8:H30)/INDIRECT("Datos!AP"&amp;ROW()-1)),SUMIF($B8:$B30,$B32,H8:H30)/INDIRECT("Datos!AP"&amp;ROW()-1),"-")</f>
        <v>0</v>
      </c>
      <c r="I32" s="1108">
        <f t="shared" ca="1" si="23"/>
        <v>0</v>
      </c>
      <c r="J32" s="1108">
        <f t="shared" ca="1" si="23"/>
        <v>0</v>
      </c>
      <c r="K32" s="1108">
        <f t="shared" ca="1" si="23"/>
        <v>0</v>
      </c>
      <c r="L32" s="1108">
        <f t="shared" ca="1" si="23"/>
        <v>0</v>
      </c>
      <c r="M32" s="1108">
        <f t="shared" ca="1" si="23"/>
        <v>0</v>
      </c>
      <c r="N32" s="1108">
        <f t="shared" ca="1" si="23"/>
        <v>0</v>
      </c>
      <c r="O32" s="1108">
        <f t="shared" ca="1" si="23"/>
        <v>0</v>
      </c>
      <c r="P32" s="1124">
        <f t="shared" ca="1" si="23"/>
        <v>0</v>
      </c>
      <c r="Q32" s="1124">
        <f t="shared" ca="1" si="23"/>
        <v>0</v>
      </c>
      <c r="R32" s="1108">
        <f t="shared" ca="1" si="23"/>
        <v>0</v>
      </c>
      <c r="S32" s="1106">
        <f t="shared" ca="1" si="23"/>
        <v>0</v>
      </c>
      <c r="T32" s="1193">
        <f t="shared" ca="1" si="23"/>
        <v>0</v>
      </c>
      <c r="U32" s="1108">
        <f t="shared" ca="1" si="23"/>
        <v>0</v>
      </c>
      <c r="V32" s="1193">
        <f t="shared" ca="1" si="23"/>
        <v>0</v>
      </c>
      <c r="W32" s="1107">
        <f t="shared" ca="1" si="23"/>
        <v>0</v>
      </c>
      <c r="X32" s="1107">
        <f t="shared" ca="1" si="23"/>
        <v>0</v>
      </c>
      <c r="Y32" s="1194">
        <f t="shared" ca="1" si="23"/>
        <v>0</v>
      </c>
      <c r="Z32" s="1194">
        <f t="shared" ca="1" si="23"/>
        <v>0</v>
      </c>
      <c r="AA32" s="1194">
        <f t="shared" ca="1" si="23"/>
        <v>0</v>
      </c>
      <c r="AB32" s="1194">
        <f t="shared" ca="1" si="23"/>
        <v>0</v>
      </c>
      <c r="AC32" s="1194">
        <f t="shared" ca="1" si="23"/>
        <v>0</v>
      </c>
      <c r="AD32" s="1194">
        <f t="shared" ca="1" si="23"/>
        <v>0</v>
      </c>
      <c r="AE32" s="1108">
        <f t="shared" ca="1" si="23"/>
        <v>0</v>
      </c>
      <c r="AF32" s="1143">
        <f t="shared" ca="1" si="23"/>
        <v>0</v>
      </c>
      <c r="AG32" s="1142">
        <f t="shared" ca="1" si="23"/>
        <v>0</v>
      </c>
      <c r="AH32" s="1108">
        <f t="shared" ca="1" si="23"/>
        <v>0</v>
      </c>
      <c r="AI32" s="1106">
        <f t="shared" ca="1" si="23"/>
        <v>0</v>
      </c>
      <c r="AJ32" s="1106">
        <f t="shared" ca="1" si="23"/>
        <v>0</v>
      </c>
      <c r="AK32" s="1108">
        <f t="shared" ca="1" si="23"/>
        <v>0</v>
      </c>
      <c r="AL32" s="1106">
        <f t="shared" ca="1" si="23"/>
        <v>0</v>
      </c>
      <c r="AM32" s="1107">
        <f t="shared" ca="1" si="23"/>
        <v>0</v>
      </c>
      <c r="AN32" s="1107">
        <f t="shared" ca="1" si="23"/>
        <v>0</v>
      </c>
      <c r="AO32" s="1108">
        <f t="shared" ca="1" si="23"/>
        <v>0</v>
      </c>
      <c r="AP32" s="1195" t="str">
        <f t="shared" ca="1" si="2"/>
        <v xml:space="preserve"> - </v>
      </c>
      <c r="AQ32" s="1190" t="e">
        <f ca="1">IF(OR(ISNUMBER(FIND("01",Criterios!A8,1)),ISNUMBER(FIND("02",Criterios!A8,1)),ISNUMBER(FIND("03",Criterios!A8,1)),ISNUMBER(FIND("04",Criterios!A8,1))),(I32-W32+K32)/(F32-K32),(H32-W32+K32)/(F32-K32))</f>
        <v>#DIV/0!</v>
      </c>
      <c r="AR32" s="1196">
        <f ca="1">IF(ISNUMBER(SUMIF($B8:$B30,$B32,AR8:AR30)/INDIRECT("Datos!AP"&amp;ROW()-1)),SUMIF($B8:$B30,$B32,AR8:AR30)/INDIRECT("Datos!AP"&amp;ROW()-1),"-")</f>
        <v>0</v>
      </c>
      <c r="AS32" s="1197">
        <f ca="1">IF(ISNUMBER(SUMIF($B8:$B30,$B32,AS8:AS30)/INDIRECT("Datos!AP"&amp;ROW()-1)),SUMIF($B8:$B30,$B32,AS8:AS30)/INDIRECT("Datos!AP"&amp;ROW()-1),"-")</f>
        <v>0</v>
      </c>
      <c r="AT32" s="1192">
        <f ca="1">IF(ISNUMBER(SUMIF($B8:$B30,$B32,AT8:AT30)/INDIRECT("Datos!AP"&amp;ROW()-1)),SUMIF($B8:$B30,$B32,AT8:AT30)/INDIRECT("Datos!AP"&amp;ROW()-1),"-")</f>
        <v>0</v>
      </c>
      <c r="AU32" s="1192">
        <f ca="1">IF(ISNUMBER(SUMIF($B8:$B30,$B32,AU8:AU30)/INDIRECT("Datos!AP"&amp;ROW()-1)),SUMIF($B8:$B30,$B32,AU8:AU30)/INDIRECT("Datos!AP"&amp;ROW()-1),"-")</f>
        <v>0</v>
      </c>
      <c r="AV32" s="1192">
        <f ca="1">IF(ISNUMBER(SUMIF($B8:$B30,$B32,AV8:AV30)/INDIRECT("Datos!AP"&amp;ROW()-1)),SUMIF($B8:$B30,$B32,AV8:AV30)/INDIRECT("Datos!AP"&amp;ROW()-1),"-")</f>
        <v>0</v>
      </c>
      <c r="AW32" s="1198"/>
      <c r="AX32" s="1108">
        <f ca="1">IF(ISNUMBER(SUMIF($B8:$B30,$B32,AX8:AX30)/INDIRECT("Datos!AP"&amp;ROW()-1)),SUMIF($B8:$B30,$B32,AX8:AX30)/INDIRECT("Datos!AP"&amp;ROW()-1),"-")</f>
        <v>0</v>
      </c>
      <c r="AY32" s="1334">
        <f ca="1">IF(ISNUMBER(SUMIF($B8:$B30,$B32,AY8:AY30)/INDIRECT("Datos!AP"&amp;ROW()-1)),SUMIF($B8:$B30,$B32,AY8:AY30)/INDIRECT("Datos!AP"&amp;ROW()-1),"-")</f>
        <v>0</v>
      </c>
    </row>
    <row r="33" spans="1:51" ht="18.75" hidden="1" customHeight="1" thickTop="1" thickBot="1">
      <c r="A33" s="181"/>
      <c r="B33" s="181"/>
      <c r="C33" s="181" t="s">
        <v>345</v>
      </c>
      <c r="D33" s="385"/>
      <c r="E33" s="308">
        <f>IF(ISNUMBER(STDEV(E8:E30)),STDEV(E8:E30),"-")</f>
        <v>7.5649236728098321</v>
      </c>
      <c r="F33" s="276">
        <f>IF(ISNUMBER(STDEV(F8:F30)),STDEV(F8:F30),"-")</f>
        <v>3090.0739581224698</v>
      </c>
      <c r="G33" s="277">
        <f>IF(ISNUMBER(STDEV(G8:G30)),STDEV(G8:G30),"-")</f>
        <v>2739.9780934126011</v>
      </c>
      <c r="H33" s="276">
        <f>IF(ISNUMBER(STDEV(H8:H30)),STDEV(H8:H30),"-")</f>
        <v>0</v>
      </c>
      <c r="I33" s="278">
        <f>IF(ISNUMBER(STDEV(I8:I30)),STDEV(I8:I30),"-")</f>
        <v>0</v>
      </c>
      <c r="J33" s="277"/>
      <c r="K33" s="277"/>
      <c r="L33" s="277"/>
      <c r="M33" s="277"/>
      <c r="N33" s="277"/>
      <c r="O33" s="277"/>
      <c r="P33" s="277"/>
      <c r="Q33" s="277"/>
      <c r="R33" s="277"/>
      <c r="S33" s="276">
        <f>IF(ISNUMBER(STDEV(S8:S30)),STDEV(S8:S30),"-")</f>
        <v>0</v>
      </c>
      <c r="T33" s="346">
        <f>IF(ISNUMBER(STDEV(T8:T30)),STDEV(T8:T30),"-")</f>
        <v>0</v>
      </c>
      <c r="U33" s="278" t="str">
        <f ca="1">IF(ISNUMBER(STDEV(U8:U30)),STDEV(U8:U30),"-")</f>
        <v>-</v>
      </c>
      <c r="V33" s="307"/>
      <c r="W33" s="277">
        <f>IF(ISNUMBER(STDEV(W8:W30)),STDEV(W8:W30),"-")</f>
        <v>35486.119477500331</v>
      </c>
      <c r="X33" s="307"/>
      <c r="Y33" s="307"/>
      <c r="Z33" s="307"/>
      <c r="AA33" s="307"/>
      <c r="AB33" s="307"/>
      <c r="AC33" s="307"/>
      <c r="AD33" s="307"/>
      <c r="AE33" s="278">
        <f>IF(ISNUMBER(STDEV(AE8:AE30)),STDEV(AE8:AE30),"-")</f>
        <v>0</v>
      </c>
      <c r="AF33" s="279">
        <f>IF(ISNUMBER(STDEV(AF8:AF30)),STDEV(AF8:AF30),"-")</f>
        <v>0</v>
      </c>
      <c r="AG33" s="307">
        <f>IF(ISNUMBER(STDEV(AG8:AG30)),STDEV(AG8:AG30),"-")</f>
        <v>0</v>
      </c>
      <c r="AH33" s="323"/>
      <c r="AI33" s="276">
        <f t="shared" ref="AI33:AQ33" si="24">IF(ISNUMBER(STDEV(AI8:AI30)),STDEV(AI8:AI30),"-")</f>
        <v>4395.6806008221802</v>
      </c>
      <c r="AJ33" s="276">
        <f t="shared" si="24"/>
        <v>0</v>
      </c>
      <c r="AK33" s="278">
        <f t="shared" si="24"/>
        <v>0</v>
      </c>
      <c r="AL33" s="273">
        <f t="shared" si="24"/>
        <v>5.0290782193453877E-2</v>
      </c>
      <c r="AM33" s="274">
        <f t="shared" si="24"/>
        <v>2.6209482908156474</v>
      </c>
      <c r="AN33" s="274">
        <f t="shared" si="24"/>
        <v>0.16686834533910772</v>
      </c>
      <c r="AO33" s="275">
        <f t="shared" si="24"/>
        <v>0.22549973082967209</v>
      </c>
      <c r="AP33" s="317" t="str">
        <f t="shared" si="24"/>
        <v>-</v>
      </c>
      <c r="AQ33" s="318">
        <f t="shared" si="24"/>
        <v>7.4205571546060467</v>
      </c>
      <c r="AR33" s="336"/>
      <c r="AS33" s="342">
        <f>IF(ISNUMBER(STDEV(AS8:AS30)),STDEV(AS8:AS30),"-")</f>
        <v>0</v>
      </c>
      <c r="AT33" s="308">
        <f>IF(ISNUMBER(STDEV(AT8:AT30)),STDEV(AT8:AT30),"-")</f>
        <v>0</v>
      </c>
      <c r="AU33" s="308">
        <f>IF(ISNUMBER(STDEV(AU8:AU30)),STDEV(AU8:AU30),"-")</f>
        <v>0</v>
      </c>
      <c r="AV33" s="308">
        <f>IF(ISNUMBER(STDEV(AV8:AV30)),STDEV(AV8:AV30),"-")</f>
        <v>0</v>
      </c>
      <c r="AW33" s="329">
        <f>IF(ISNUMBER(STDEV(AW8:AW30)),STDEV(AW8:AW30),"-")</f>
        <v>0</v>
      </c>
      <c r="AX33" s="329"/>
      <c r="AY33" s="1335"/>
    </row>
    <row r="34" spans="1:51" ht="12" customHeight="1" thickTop="1">
      <c r="C34" s="76"/>
      <c r="D34" s="76"/>
      <c r="T34" s="347"/>
      <c r="AQ34" t="s">
        <v>549</v>
      </c>
      <c r="AR34" s="337"/>
      <c r="AS34" s="343"/>
      <c r="AW34" s="102"/>
      <c r="AX34" s="102"/>
      <c r="AY34" s="816"/>
    </row>
    <row r="35" spans="1:51">
      <c r="C35" s="173"/>
      <c r="D35" s="386"/>
      <c r="E35" s="154"/>
      <c r="F35" s="156"/>
      <c r="G35" s="158"/>
      <c r="H35" s="157"/>
      <c r="I35" s="157"/>
      <c r="J35" s="154"/>
      <c r="K35" s="154"/>
      <c r="L35" s="154"/>
      <c r="M35" s="154"/>
      <c r="N35" s="154"/>
      <c r="O35" s="154"/>
      <c r="P35" s="154"/>
      <c r="Q35" s="154"/>
      <c r="R35" s="154"/>
      <c r="S35" s="154"/>
      <c r="T35" s="348"/>
      <c r="U35" s="154"/>
      <c r="V35" s="154"/>
      <c r="W35" s="157"/>
      <c r="X35" s="281"/>
      <c r="Y35" s="281"/>
      <c r="Z35" s="281"/>
      <c r="AA35" s="281"/>
      <c r="AB35" s="281"/>
      <c r="AC35" s="281"/>
      <c r="AD35" s="281"/>
      <c r="AE35" s="157"/>
      <c r="AF35" s="157"/>
      <c r="AG35" s="157"/>
      <c r="AH35" s="157"/>
      <c r="AI35" s="157"/>
      <c r="AJ35" s="157"/>
      <c r="AK35" s="157"/>
      <c r="AL35" s="157"/>
      <c r="AM35" s="154"/>
      <c r="AN35" s="154"/>
      <c r="AO35" s="154"/>
      <c r="AP35" s="178"/>
      <c r="AQ35" s="178"/>
      <c r="AR35" s="338"/>
      <c r="AS35" s="344"/>
      <c r="AT35" s="154"/>
      <c r="AU35" s="154"/>
      <c r="AV35" s="154"/>
      <c r="AW35" s="330"/>
      <c r="AX35" s="330"/>
      <c r="AY35" s="321"/>
    </row>
    <row r="36" spans="1:51">
      <c r="C36" s="7"/>
      <c r="D36" s="387"/>
      <c r="E36" s="154"/>
      <c r="F36" s="156"/>
      <c r="G36" s="158"/>
      <c r="H36" s="157"/>
      <c r="I36" s="157"/>
      <c r="J36" s="154"/>
      <c r="K36" s="154"/>
      <c r="L36" s="154"/>
      <c r="M36" s="154"/>
      <c r="N36" s="154"/>
      <c r="O36" s="154"/>
      <c r="P36" s="154"/>
      <c r="Q36" s="154"/>
      <c r="R36" s="154"/>
      <c r="S36" s="154"/>
      <c r="T36" s="348"/>
      <c r="U36" s="154"/>
      <c r="V36" s="154"/>
      <c r="W36" s="157"/>
      <c r="X36" s="281"/>
      <c r="Y36" s="281"/>
      <c r="Z36" s="281"/>
      <c r="AA36" s="281"/>
      <c r="AB36" s="281"/>
      <c r="AC36" s="281"/>
      <c r="AD36" s="281"/>
      <c r="AE36" s="157"/>
      <c r="AF36" s="157"/>
      <c r="AG36" s="157"/>
      <c r="AH36" s="157"/>
      <c r="AI36" s="157"/>
      <c r="AJ36" s="157"/>
      <c r="AK36" s="157"/>
      <c r="AL36" s="157"/>
      <c r="AM36" s="154"/>
      <c r="AN36" s="154"/>
      <c r="AO36" s="154"/>
      <c r="AP36" s="178"/>
      <c r="AQ36" s="178"/>
      <c r="AR36" s="338"/>
      <c r="AS36" s="344"/>
      <c r="AT36" s="154"/>
      <c r="AU36" s="154"/>
      <c r="AV36" s="154"/>
      <c r="AW36" s="330"/>
      <c r="AX36" s="330"/>
      <c r="AY36" s="321"/>
    </row>
    <row r="37" spans="1:51" ht="12.75" hidden="1" customHeight="1">
      <c r="C37" s="320" t="s">
        <v>342</v>
      </c>
      <c r="D37" s="387"/>
      <c r="E37" s="158">
        <f>E35+2*E36</f>
        <v>0</v>
      </c>
      <c r="F37" s="158">
        <f>F35+2*F36</f>
        <v>0</v>
      </c>
      <c r="G37" s="156">
        <f>G35+2*G36</f>
        <v>0</v>
      </c>
      <c r="H37" s="155">
        <f>H35+2*H36</f>
        <v>0</v>
      </c>
      <c r="I37" s="155">
        <f>I35+2*I36</f>
        <v>0</v>
      </c>
      <c r="J37" s="155">
        <f t="shared" ref="J37:U37" si="25">J35+2*J36</f>
        <v>0</v>
      </c>
      <c r="K37" s="155">
        <f>K35+2*K36</f>
        <v>0</v>
      </c>
      <c r="L37" s="155">
        <f t="shared" si="25"/>
        <v>0</v>
      </c>
      <c r="M37" s="155">
        <f t="shared" si="25"/>
        <v>0</v>
      </c>
      <c r="N37" s="155">
        <f t="shared" si="25"/>
        <v>0</v>
      </c>
      <c r="O37" s="155">
        <f>O35+2*O36</f>
        <v>0</v>
      </c>
      <c r="P37" s="155"/>
      <c r="Q37" s="349">
        <f t="shared" si="25"/>
        <v>0</v>
      </c>
      <c r="R37" s="155">
        <f t="shared" si="25"/>
        <v>0</v>
      </c>
      <c r="S37" s="156">
        <f t="shared" si="25"/>
        <v>0</v>
      </c>
      <c r="T37" s="371">
        <f t="shared" si="25"/>
        <v>0</v>
      </c>
      <c r="U37" s="156">
        <f t="shared" si="25"/>
        <v>0</v>
      </c>
      <c r="V37" s="156"/>
      <c r="W37" s="156">
        <f t="shared" ref="W37:AH37" si="26">W35+2*W36</f>
        <v>0</v>
      </c>
      <c r="X37" s="156">
        <f t="shared" si="26"/>
        <v>0</v>
      </c>
      <c r="Y37" s="156">
        <f t="shared" si="26"/>
        <v>0</v>
      </c>
      <c r="Z37" s="156">
        <f t="shared" si="26"/>
        <v>0</v>
      </c>
      <c r="AA37" s="156">
        <f t="shared" si="26"/>
        <v>0</v>
      </c>
      <c r="AB37" s="156">
        <f t="shared" si="26"/>
        <v>0</v>
      </c>
      <c r="AC37" s="156">
        <f t="shared" si="26"/>
        <v>0</v>
      </c>
      <c r="AD37" s="156">
        <f t="shared" si="26"/>
        <v>0</v>
      </c>
      <c r="AE37" s="156">
        <f t="shared" si="26"/>
        <v>0</v>
      </c>
      <c r="AF37" s="156">
        <f t="shared" si="26"/>
        <v>0</v>
      </c>
      <c r="AG37" s="156">
        <f t="shared" si="26"/>
        <v>0</v>
      </c>
      <c r="AH37" s="156">
        <f t="shared" si="26"/>
        <v>0</v>
      </c>
      <c r="AI37" s="156">
        <f t="shared" ref="AI37:AS37" si="27">AI35+2*AI36</f>
        <v>0</v>
      </c>
      <c r="AJ37" s="156">
        <f t="shared" si="27"/>
        <v>0</v>
      </c>
      <c r="AK37" s="156">
        <f t="shared" si="27"/>
        <v>0</v>
      </c>
      <c r="AL37" s="280">
        <f t="shared" si="27"/>
        <v>0</v>
      </c>
      <c r="AM37" s="280">
        <f t="shared" si="27"/>
        <v>0</v>
      </c>
      <c r="AN37" s="280">
        <f t="shared" si="27"/>
        <v>0</v>
      </c>
      <c r="AO37" s="280">
        <f t="shared" si="27"/>
        <v>0</v>
      </c>
      <c r="AP37" s="156">
        <f t="shared" si="27"/>
        <v>0</v>
      </c>
      <c r="AQ37" s="156">
        <f t="shared" si="27"/>
        <v>0</v>
      </c>
      <c r="AR37" s="156">
        <f t="shared" si="27"/>
        <v>0</v>
      </c>
      <c r="AS37" s="156">
        <f t="shared" si="27"/>
        <v>0</v>
      </c>
      <c r="AT37" s="156">
        <f>AT35+2*AT36</f>
        <v>0</v>
      </c>
      <c r="AU37" s="156">
        <f>AU35+2*AU36</f>
        <v>0</v>
      </c>
      <c r="AV37" s="156">
        <f>AV35+2*AV36</f>
        <v>0</v>
      </c>
      <c r="AW37" s="156">
        <f>AW35+2*AW36</f>
        <v>0</v>
      </c>
    </row>
    <row r="38" spans="1:51" ht="12.75" hidden="1" customHeight="1">
      <c r="C38" s="320" t="s">
        <v>343</v>
      </c>
      <c r="D38" s="387"/>
      <c r="E38" s="158">
        <f>MIN(0,E35-2*E36)</f>
        <v>0</v>
      </c>
      <c r="F38" s="158">
        <f>MIN(0,F35-2*F36)</f>
        <v>0</v>
      </c>
      <c r="G38" s="156">
        <f>MIN(0,G35-2*G36)</f>
        <v>0</v>
      </c>
      <c r="H38" s="156">
        <f>MIN(0,H35-2*H36)</f>
        <v>0</v>
      </c>
      <c r="I38" s="156">
        <f>MIN(0,I35-2*I36)</f>
        <v>0</v>
      </c>
      <c r="J38" s="156">
        <f t="shared" ref="J38:U38" si="28">MIN(0,J35-2*J36)</f>
        <v>0</v>
      </c>
      <c r="K38" s="156">
        <f>MIN(0,K35-2*K36)</f>
        <v>0</v>
      </c>
      <c r="L38" s="156">
        <f t="shared" si="28"/>
        <v>0</v>
      </c>
      <c r="M38" s="156">
        <f t="shared" si="28"/>
        <v>0</v>
      </c>
      <c r="N38" s="156">
        <f t="shared" si="28"/>
        <v>0</v>
      </c>
      <c r="O38" s="156">
        <f>MIN(0,O35-2*O36)</f>
        <v>0</v>
      </c>
      <c r="P38" s="156"/>
      <c r="Q38" s="171">
        <f t="shared" si="28"/>
        <v>0</v>
      </c>
      <c r="R38" s="156">
        <f t="shared" si="28"/>
        <v>0</v>
      </c>
      <c r="S38" s="156">
        <f t="shared" si="28"/>
        <v>0</v>
      </c>
      <c r="T38" s="371">
        <f t="shared" si="28"/>
        <v>0</v>
      </c>
      <c r="U38" s="156">
        <f t="shared" si="28"/>
        <v>0</v>
      </c>
      <c r="V38" s="156"/>
      <c r="W38" s="156">
        <f t="shared" ref="W38:AG38" si="29">MIN(0,W35-2*W36)</f>
        <v>0</v>
      </c>
      <c r="X38" s="156">
        <f t="shared" si="29"/>
        <v>0</v>
      </c>
      <c r="Y38" s="156">
        <f t="shared" si="29"/>
        <v>0</v>
      </c>
      <c r="Z38" s="156">
        <f t="shared" si="29"/>
        <v>0</v>
      </c>
      <c r="AA38" s="156">
        <f t="shared" si="29"/>
        <v>0</v>
      </c>
      <c r="AB38" s="156">
        <f t="shared" si="29"/>
        <v>0</v>
      </c>
      <c r="AC38" s="156">
        <f t="shared" si="29"/>
        <v>0</v>
      </c>
      <c r="AD38" s="156">
        <f t="shared" si="29"/>
        <v>0</v>
      </c>
      <c r="AE38" s="156">
        <f t="shared" si="29"/>
        <v>0</v>
      </c>
      <c r="AF38" s="156">
        <f t="shared" si="29"/>
        <v>0</v>
      </c>
      <c r="AG38" s="156">
        <f t="shared" si="29"/>
        <v>0</v>
      </c>
      <c r="AH38" s="156">
        <f>MIN(0,AH35-2*AH36)</f>
        <v>0</v>
      </c>
      <c r="AI38" s="156">
        <f t="shared" ref="AI38:AS38" si="30">MIN(0,AI35-2*AI36)</f>
        <v>0</v>
      </c>
      <c r="AJ38" s="156">
        <f t="shared" si="30"/>
        <v>0</v>
      </c>
      <c r="AK38" s="156">
        <f t="shared" si="30"/>
        <v>0</v>
      </c>
      <c r="AL38" s="280">
        <f t="shared" si="30"/>
        <v>0</v>
      </c>
      <c r="AM38" s="280">
        <f t="shared" si="30"/>
        <v>0</v>
      </c>
      <c r="AN38" s="280">
        <f t="shared" si="30"/>
        <v>0</v>
      </c>
      <c r="AO38" s="280">
        <f t="shared" si="30"/>
        <v>0</v>
      </c>
      <c r="AP38" s="156">
        <f t="shared" si="30"/>
        <v>0</v>
      </c>
      <c r="AQ38" s="156">
        <f t="shared" si="30"/>
        <v>0</v>
      </c>
      <c r="AR38" s="156">
        <f t="shared" si="30"/>
        <v>0</v>
      </c>
      <c r="AS38" s="156">
        <f t="shared" si="30"/>
        <v>0</v>
      </c>
      <c r="AT38" s="156">
        <f>MIN(0,AT35-2*AT36)</f>
        <v>0</v>
      </c>
      <c r="AU38" s="156">
        <f>MIN(0,AU35-2*AU36)</f>
        <v>0</v>
      </c>
      <c r="AV38" s="156">
        <f>MIN(0,AV35-2*AV36)</f>
        <v>0</v>
      </c>
      <c r="AW38" s="156">
        <f>MIN(0,AW35-2*AW36)</f>
        <v>0</v>
      </c>
    </row>
    <row r="39" spans="1:51">
      <c r="C39" s="74"/>
      <c r="D39" s="74"/>
    </row>
    <row r="42" spans="1:51">
      <c r="C42" s="130" t="str">
        <f>Criterios!A4</f>
        <v>Fecha Informe: 05 abr. 2022</v>
      </c>
      <c r="D42" s="130"/>
    </row>
    <row r="44" spans="1:51">
      <c r="C44" s="1"/>
      <c r="D44" s="1"/>
    </row>
  </sheetData>
  <sheetProtection algorithmName="SHA-512" hashValue="2hfN3vJx3f2tteS1lxITfuMipCrhbqPJG7/qVWvdVGuJRTIbmbuCWZ0U4v3VdrOAGBFlRlvWGp+0tUxUZSrLBw==" saltValue="amCuTQBVN4xQp1djfXNGWQ==" spinCount="100000" sheet="1" objects="1" scenarios="1"/>
  <mergeCells count="62">
    <mergeCell ref="AA5:AA7"/>
    <mergeCell ref="AC5:AC7"/>
    <mergeCell ref="W5:W7"/>
    <mergeCell ref="X5:X7"/>
    <mergeCell ref="AD5:AD7"/>
    <mergeCell ref="AB5:AB7"/>
    <mergeCell ref="Y5:Y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H6:BH7"/>
    <mergeCell ref="AP5:AP7"/>
    <mergeCell ref="AQ5:AQ7"/>
    <mergeCell ref="BG5:BH5"/>
    <mergeCell ref="BE6:BE7"/>
    <mergeCell ref="BF6:BF7"/>
    <mergeCell ref="BG6:BG7"/>
    <mergeCell ref="BE5:BF5"/>
    <mergeCell ref="AX5:AX7"/>
    <mergeCell ref="AY5:AY7"/>
    <mergeCell ref="AM5:AM7"/>
    <mergeCell ref="AW5:AW7"/>
    <mergeCell ref="AU5:AU7"/>
    <mergeCell ref="BL6:BL7"/>
    <mergeCell ref="BI5:BJ5"/>
    <mergeCell ref="BK5:BL5"/>
    <mergeCell ref="BJ6:BJ7"/>
    <mergeCell ref="BI6:BI7"/>
    <mergeCell ref="BK6:BK7"/>
    <mergeCell ref="AS5:AS7"/>
    <mergeCell ref="AO5:AO7"/>
    <mergeCell ref="AV5:AV7"/>
    <mergeCell ref="AN5:AN7"/>
    <mergeCell ref="AT5:AT7"/>
    <mergeCell ref="AR5:AR7"/>
  </mergeCells>
  <phoneticPr fontId="0" type="noConversion"/>
  <conditionalFormatting sqref="F9:G9 F10:F13 F16:F22 F25 F28:F29">
    <cfRule type="expression" dxfId="2978" priority="302" stopIfTrue="1">
      <formula>IF(F9&lt;&gt;G9,TRUE,FALSE)</formula>
    </cfRule>
  </conditionalFormatting>
  <conditionalFormatting sqref="E25 E9:E13 E28:E29 E16:E22">
    <cfRule type="cellIs" dxfId="2977" priority="248" stopIfTrue="1" operator="notBetween">
      <formula>$E$37</formula>
      <formula>$E$38</formula>
    </cfRule>
  </conditionalFormatting>
  <conditionalFormatting sqref="G28:G29 G25 G10:G13 G16:G22">
    <cfRule type="cellIs" dxfId="2976" priority="304" stopIfTrue="1" operator="between">
      <formula>$G$37</formula>
      <formula>$G$38</formula>
    </cfRule>
  </conditionalFormatting>
  <conditionalFormatting sqref="W28:W29 W25 W9:W13 W16:W22">
    <cfRule type="cellIs" dxfId="2975" priority="306" stopIfTrue="1" operator="notBetween">
      <formula>$W$37</formula>
      <formula>$W$38</formula>
    </cfRule>
  </conditionalFormatting>
  <conditionalFormatting sqref="AF25 AF28:AF29 AF9:AF13 AF16:AF22">
    <cfRule type="cellIs" dxfId="2974" priority="307" stopIfTrue="1" operator="notBetween">
      <formula>$AF$37</formula>
      <formula>$AF$38</formula>
    </cfRule>
  </conditionalFormatting>
  <conditionalFormatting sqref="AI25 AI9:AI13 AI29 AI16:AI22">
    <cfRule type="cellIs" dxfId="2973" priority="309" stopIfTrue="1" operator="notBetween">
      <formula>$AI$37</formula>
      <formula>$AI$38</formula>
    </cfRule>
  </conditionalFormatting>
  <conditionalFormatting sqref="AE25 AE9:AE13 AE28:AE29 AE16:AE22">
    <cfRule type="cellIs" dxfId="2972" priority="310" stopIfTrue="1" operator="notBetween">
      <formula>$AE$37</formula>
      <formula>$AE$38</formula>
    </cfRule>
  </conditionalFormatting>
  <conditionalFormatting sqref="AJ25 AJ28:AJ29 AJ9:AJ13 AJ16:AJ22">
    <cfRule type="cellIs" dxfId="2971" priority="311" stopIfTrue="1" operator="notBetween">
      <formula>$AJ$37</formula>
      <formula>$AJ$38</formula>
    </cfRule>
  </conditionalFormatting>
  <conditionalFormatting sqref="AL25 AL28:AL29 AL9:AL13 AL16:AL22">
    <cfRule type="cellIs" dxfId="2970" priority="313" stopIfTrue="1" operator="notBetween">
      <formula>$AL$37</formula>
      <formula>$AL$38</formula>
    </cfRule>
  </conditionalFormatting>
  <conditionalFormatting sqref="AM25 AM9:AM13 AM28:AM29 AM16:AM22">
    <cfRule type="cellIs" dxfId="2969" priority="317" stopIfTrue="1" operator="notBetween">
      <formula>$AM$37</formula>
      <formula>$AM$38</formula>
    </cfRule>
  </conditionalFormatting>
  <conditionalFormatting sqref="AN25 AN9:AN13 AN28:AN29 AN16:AN22">
    <cfRule type="cellIs" dxfId="2968" priority="318" stopIfTrue="1" operator="notBetween">
      <formula>$AN$37</formula>
      <formula>$AN$38</formula>
    </cfRule>
  </conditionalFormatting>
  <conditionalFormatting sqref="AO25 AO9:AO13 AO28:AO29 AO16:AO22">
    <cfRule type="cellIs" dxfId="2967" priority="319" stopIfTrue="1" operator="notBetween">
      <formula>$AO$37</formula>
      <formula>$AO$38</formula>
    </cfRule>
  </conditionalFormatting>
  <conditionalFormatting sqref="F16:F22 F9:F13 F25 F28:F29">
    <cfRule type="cellIs" dxfId="2966" priority="321" stopIfTrue="1" operator="notBetween">
      <formula>$F$37</formula>
      <formula>$F$38</formula>
    </cfRule>
  </conditionalFormatting>
  <conditionalFormatting sqref="AP25 AP28:AP29 AP9:AP13 AP16:AP22">
    <cfRule type="cellIs" dxfId="2965" priority="253" stopIfTrue="1" operator="notBetween">
      <formula>$AP$37</formula>
      <formula>$AP$38</formula>
    </cfRule>
  </conditionalFormatting>
  <conditionalFormatting sqref="AQ9:AQ13 AQ16:AQ22 AQ25 AQ28:AQ29">
    <cfRule type="cellIs" dxfId="2964" priority="250" stopIfTrue="1" operator="notBetween">
      <formula>$AQ$37</formula>
      <formula>$AQ$38</formula>
    </cfRule>
  </conditionalFormatting>
  <conditionalFormatting sqref="AS16:AS22 AS9:AS13 AS25 AS28:AS29">
    <cfRule type="cellIs" dxfId="2963" priority="249" stopIfTrue="1" operator="notBetween">
      <formula>$AS$37</formula>
      <formula>$AS$38</formula>
    </cfRule>
  </conditionalFormatting>
  <conditionalFormatting sqref="AR25 AR9:AR13 AR28:AR29 AR16:AR22">
    <cfRule type="cellIs" dxfId="2962" priority="376" stopIfTrue="1" operator="notBetween">
      <formula>$AR$37</formula>
      <formula>$AR$38</formula>
    </cfRule>
  </conditionalFormatting>
  <conditionalFormatting sqref="AV25 AV9:AV13 AV28:AV29 AV16:AV22">
    <cfRule type="cellIs" dxfId="2961" priority="377" stopIfTrue="1" operator="notBetween">
      <formula>$AV$37</formula>
      <formula>$AV$38</formula>
    </cfRule>
  </conditionalFormatting>
  <conditionalFormatting sqref="BE9:BL13 BE25:BL25 BE16:BL22 BE28:BL29">
    <cfRule type="cellIs" dxfId="2960" priority="757" stopIfTrue="1" operator="equal">
      <formula>$A$43</formula>
    </cfRule>
  </conditionalFormatting>
  <conditionalFormatting sqref="BE8:BL8 BE14:BL15 BE23:BL24 BE30:BL31 BE26:BL27">
    <cfRule type="cellIs" dxfId="2959" priority="758" stopIfTrue="1" operator="equal">
      <formula>$A$43</formula>
    </cfRule>
  </conditionalFormatting>
  <conditionalFormatting sqref="N12">
    <cfRule type="cellIs" dxfId="2958" priority="768" stopIfTrue="1" operator="greaterThan">
      <formula>$BF$12</formula>
    </cfRule>
    <cfRule type="cellIs" dxfId="2957" priority="769" stopIfTrue="1" operator="lessThan">
      <formula>$BE$12</formula>
    </cfRule>
  </conditionalFormatting>
  <conditionalFormatting sqref="H21">
    <cfRule type="cellIs" dxfId="2956" priority="792" stopIfTrue="1" operator="greaterThan">
      <formula>$BF$21</formula>
    </cfRule>
    <cfRule type="cellIs" dxfId="2955" priority="793" stopIfTrue="1" operator="lessThan">
      <formula>$BE$21</formula>
    </cfRule>
  </conditionalFormatting>
  <conditionalFormatting sqref="I21">
    <cfRule type="cellIs" dxfId="2954" priority="872" stopIfTrue="1" operator="greaterThan">
      <formula>$BH$21</formula>
    </cfRule>
    <cfRule type="cellIs" dxfId="2953" priority="873" stopIfTrue="1" operator="lessThan">
      <formula>$BG$21</formula>
    </cfRule>
  </conditionalFormatting>
  <conditionalFormatting sqref="J21">
    <cfRule type="cellIs" dxfId="2952" priority="950" stopIfTrue="1" operator="greaterThan">
      <formula>$BJ$21</formula>
    </cfRule>
    <cfRule type="cellIs" dxfId="2951" priority="951" stopIfTrue="1" operator="lessThan">
      <formula>$BI$21</formula>
    </cfRule>
  </conditionalFormatting>
  <conditionalFormatting sqref="N9">
    <cfRule type="cellIs" dxfId="2950" priority="1264" stopIfTrue="1" operator="greaterThan">
      <formula>$BL$9</formula>
    </cfRule>
    <cfRule type="cellIs" dxfId="2949" priority="1265" stopIfTrue="1" operator="lessThan">
      <formula>$BK$9</formula>
    </cfRule>
  </conditionalFormatting>
  <conditionalFormatting sqref="N10">
    <cfRule type="cellIs" dxfId="2948" priority="1268" stopIfTrue="1" operator="greaterThan">
      <formula>$BL$10</formula>
    </cfRule>
    <cfRule type="cellIs" dxfId="2947" priority="1269" stopIfTrue="1" operator="lessThan">
      <formula>$BK$10</formula>
    </cfRule>
  </conditionalFormatting>
  <conditionalFormatting sqref="N11">
    <cfRule type="cellIs" dxfId="2946" priority="1272" stopIfTrue="1" operator="greaterThan">
      <formula>$BL$11</formula>
    </cfRule>
    <cfRule type="cellIs" dxfId="2945" priority="1273" stopIfTrue="1" operator="lessThan">
      <formula>$BK$11</formula>
    </cfRule>
  </conditionalFormatting>
  <conditionalFormatting sqref="N13">
    <cfRule type="cellIs" dxfId="2944" priority="1276" stopIfTrue="1" operator="greaterThan">
      <formula>$BL$13</formula>
    </cfRule>
    <cfRule type="cellIs" dxfId="2943" priority="1277" stopIfTrue="1" operator="lessThan">
      <formula>$BK$13</formula>
    </cfRule>
  </conditionalFormatting>
  <conditionalFormatting sqref="N16">
    <cfRule type="cellIs" dxfId="2942" priority="1288" stopIfTrue="1" operator="greaterThan">
      <formula>$BL$16</formula>
    </cfRule>
    <cfRule type="cellIs" dxfId="2941" priority="1289" stopIfTrue="1" operator="lessThan">
      <formula>$BK$16</formula>
    </cfRule>
  </conditionalFormatting>
  <conditionalFormatting sqref="N20">
    <cfRule type="cellIs" dxfId="2940" priority="1294" stopIfTrue="1" operator="greaterThan">
      <formula>$BL$20</formula>
    </cfRule>
    <cfRule type="cellIs" dxfId="2939" priority="1295" stopIfTrue="1" operator="lessThan">
      <formula>$BK$20</formula>
    </cfRule>
  </conditionalFormatting>
  <conditionalFormatting sqref="N21">
    <cfRule type="cellIs" dxfId="2938" priority="1296" stopIfTrue="1" operator="greaterThan">
      <formula>$BL$21</formula>
    </cfRule>
    <cfRule type="cellIs" dxfId="2937" priority="1297" stopIfTrue="1" operator="lessThan">
      <formula>$BK$21</formula>
    </cfRule>
  </conditionalFormatting>
  <conditionalFormatting sqref="N22">
    <cfRule type="cellIs" dxfId="2936" priority="1298" stopIfTrue="1" operator="greaterThan">
      <formula>$BL$22</formula>
    </cfRule>
    <cfRule type="cellIs" dxfId="2935" priority="1299" stopIfTrue="1" operator="lessThan">
      <formula>$BK$22</formula>
    </cfRule>
  </conditionalFormatting>
  <conditionalFormatting sqref="N25">
    <cfRule type="cellIs" dxfId="2934" priority="1318" stopIfTrue="1" operator="greaterThan">
      <formula>$BL$25</formula>
    </cfRule>
    <cfRule type="cellIs" dxfId="2933" priority="1319" stopIfTrue="1" operator="lessThan">
      <formula>$BK$25</formula>
    </cfRule>
  </conditionalFormatting>
  <conditionalFormatting sqref="N28">
    <cfRule type="cellIs" dxfId="2932" priority="1328" stopIfTrue="1" operator="greaterThan">
      <formula>$BL$28</formula>
    </cfRule>
    <cfRule type="cellIs" dxfId="2931" priority="1329" stopIfTrue="1" operator="lessThan">
      <formula>$BK$28</formula>
    </cfRule>
  </conditionalFormatting>
  <conditionalFormatting sqref="N29">
    <cfRule type="cellIs" dxfId="2930" priority="1330" stopIfTrue="1" operator="greaterThan">
      <formula>$BL$29</formula>
    </cfRule>
    <cfRule type="cellIs" dxfId="2929" priority="1331" stopIfTrue="1" operator="lessThan">
      <formula>$BK$29</formula>
    </cfRule>
  </conditionalFormatting>
  <conditionalFormatting sqref="L25 L9:L13 L28:L29 L16:L22">
    <cfRule type="cellIs" dxfId="2928" priority="1342" stopIfTrue="1" operator="notBetween">
      <formula>$L$37</formula>
      <formula>$L$38</formula>
    </cfRule>
  </conditionalFormatting>
  <conditionalFormatting sqref="M25 M9:M13 M28:M29 M16:M22">
    <cfRule type="cellIs" dxfId="2927" priority="1343" stopIfTrue="1" operator="notBetween">
      <formula>$M$37</formula>
      <formula>$M$38</formula>
    </cfRule>
  </conditionalFormatting>
  <conditionalFormatting sqref="P25:Q25 P28:Q29 P9:Q13 Q16:Q22">
    <cfRule type="cellIs" dxfId="2926" priority="1344" stopIfTrue="1" operator="notBetween">
      <formula>$Q$37</formula>
      <formula>$Q$38</formula>
    </cfRule>
  </conditionalFormatting>
  <conditionalFormatting sqref="R25 R9:R13 R28:R29 R16:R22">
    <cfRule type="cellIs" dxfId="2925" priority="1345" stopIfTrue="1" operator="notBetween">
      <formula>$R$37</formula>
      <formula>$R$38</formula>
    </cfRule>
  </conditionalFormatting>
  <conditionalFormatting sqref="S25 S28:S29 S9:S13 S16:S22">
    <cfRule type="cellIs" dxfId="2924" priority="1346" stopIfTrue="1" operator="notBetween">
      <formula>$S$37</formula>
      <formula>$S$38</formula>
    </cfRule>
  </conditionalFormatting>
  <conditionalFormatting sqref="T25 T28:T29 T9:T13 T16:T22">
    <cfRule type="cellIs" dxfId="2923" priority="1347" stopIfTrue="1" operator="notBetween">
      <formula>$T$37</formula>
      <formula>$T$38</formula>
    </cfRule>
  </conditionalFormatting>
  <conditionalFormatting sqref="X25 X9:X13 X28:X29 X16:X22">
    <cfRule type="cellIs" dxfId="2922" priority="1349" stopIfTrue="1" operator="notBetween">
      <formula>$X$37</formula>
      <formula>$X$38</formula>
    </cfRule>
  </conditionalFormatting>
  <conditionalFormatting sqref="Y25 Y9:Y13 Y28:Y29 Y16:Y22">
    <cfRule type="cellIs" dxfId="2921" priority="1350" stopIfTrue="1" operator="notBetween">
      <formula>$Y$37</formula>
      <formula>$Y$38</formula>
    </cfRule>
  </conditionalFormatting>
  <conditionalFormatting sqref="AB25 AB9:AB13 AB28:AB29 AB16:AB22">
    <cfRule type="cellIs" dxfId="2920" priority="1351" stopIfTrue="1" operator="notBetween">
      <formula>$AB$37</formula>
      <formula>$AB$38</formula>
    </cfRule>
  </conditionalFormatting>
  <conditionalFormatting sqref="AD25 AD9:AD13 AD28:AD29 AD16:AD22">
    <cfRule type="cellIs" dxfId="2919" priority="1352" stopIfTrue="1" operator="notBetween">
      <formula>$AD$37</formula>
      <formula>$AD$38</formula>
    </cfRule>
  </conditionalFormatting>
  <conditionalFormatting sqref="AH25 AH9:AH13 AH28:AH29 AH16:AH22">
    <cfRule type="cellIs" dxfId="2918" priority="1353" stopIfTrue="1" operator="notBetween">
      <formula>$AH$37</formula>
      <formula>$AH$38</formula>
    </cfRule>
  </conditionalFormatting>
  <conditionalFormatting sqref="AK25 AK9:AK13 AK28:AK29 AK16:AK22">
    <cfRule type="cellIs" dxfId="2917" priority="1354" stopIfTrue="1" operator="notBetween">
      <formula>$AK$37</formula>
      <formula>$AK$38</formula>
    </cfRule>
  </conditionalFormatting>
  <conditionalFormatting sqref="AT25 AT9:AT13 AT28:AT29 AT16:AT22">
    <cfRule type="cellIs" dxfId="2916" priority="1355" stopIfTrue="1" operator="notBetween">
      <formula>$AT$37</formula>
      <formula>$AT$38</formula>
    </cfRule>
  </conditionalFormatting>
  <conditionalFormatting sqref="AU25 AU9:AU13 AU28:AU29 AU16:AU22">
    <cfRule type="cellIs" dxfId="2915" priority="1356" stopIfTrue="1" operator="notBetween">
      <formula>$AU$37</formula>
      <formula>$AU$38</formula>
    </cfRule>
  </conditionalFormatting>
  <conditionalFormatting sqref="Z25 Z9:Z13 Z28:Z29 Z16:Z22">
    <cfRule type="cellIs" dxfId="2914" priority="1357" stopIfTrue="1" operator="notBetween">
      <formula>$Z$37</formula>
      <formula>$Z$38</formula>
    </cfRule>
  </conditionalFormatting>
  <conditionalFormatting sqref="AA25 AA28:AA29 AA9:AA13 AA16:AA22">
    <cfRule type="cellIs" dxfId="2913" priority="1358" stopIfTrue="1" operator="notBetween">
      <formula>$AA$37</formula>
      <formula>$AA$38</formula>
    </cfRule>
  </conditionalFormatting>
  <conditionalFormatting sqref="AC25 AC9:AC13 AC28:AC29 AC16:AC22">
    <cfRule type="cellIs" dxfId="2912" priority="1359" stopIfTrue="1" operator="notBetween">
      <formula>$AC$37</formula>
      <formula>$AC$38</formula>
    </cfRule>
  </conditionalFormatting>
  <conditionalFormatting sqref="AG25 AG9:AG13 AG28:AG29 AG16:AG22">
    <cfRule type="cellIs" dxfId="2911" priority="1718" stopIfTrue="1" operator="notBetween">
      <formula>$AG$37</formula>
      <formula>$AG$38</formula>
    </cfRule>
  </conditionalFormatting>
  <conditionalFormatting sqref="N18">
    <cfRule type="cellIs" dxfId="2910" priority="154" stopIfTrue="1" operator="greaterThan">
      <formula>$BL$18</formula>
    </cfRule>
    <cfRule type="cellIs" dxfId="2909" priority="155" stopIfTrue="1" operator="lessThan">
      <formula>$BK$18</formula>
    </cfRule>
  </conditionalFormatting>
  <conditionalFormatting sqref="N19">
    <cfRule type="cellIs" dxfId="2908" priority="152" stopIfTrue="1" operator="greaterThan">
      <formula>$BL$19</formula>
    </cfRule>
    <cfRule type="cellIs" dxfId="2907" priority="153" stopIfTrue="1" operator="lessThan">
      <formula>$BK$19</formula>
    </cfRule>
  </conditionalFormatting>
  <conditionalFormatting sqref="V16:V22 V9:V13">
    <cfRule type="cellIs" dxfId="2906" priority="142" stopIfTrue="1" operator="notBetween">
      <formula>$V$37</formula>
      <formula>$V$38</formula>
    </cfRule>
  </conditionalFormatting>
  <conditionalFormatting sqref="V25">
    <cfRule type="cellIs" dxfId="2905" priority="141" stopIfTrue="1" operator="notBetween">
      <formula>$V$37</formula>
      <formula>$V$38</formula>
    </cfRule>
  </conditionalFormatting>
  <conditionalFormatting sqref="V28:V29">
    <cfRule type="cellIs" dxfId="2904" priority="140" stopIfTrue="1" operator="notBetween">
      <formula>$V$37</formula>
      <formula>$V$38</formula>
    </cfRule>
  </conditionalFormatting>
  <conditionalFormatting sqref="N10">
    <cfRule type="cellIs" dxfId="2903" priority="136" stopIfTrue="1" operator="greaterThan">
      <formula>#REF!</formula>
    </cfRule>
    <cfRule type="cellIs" dxfId="2902" priority="137" stopIfTrue="1" operator="lessThan">
      <formula>#REF!</formula>
    </cfRule>
  </conditionalFormatting>
  <conditionalFormatting sqref="N13">
    <cfRule type="cellIs" dxfId="2901" priority="134" stopIfTrue="1" operator="greaterThan">
      <formula>#REF!</formula>
    </cfRule>
    <cfRule type="cellIs" dxfId="2900" priority="135" stopIfTrue="1" operator="lessThan">
      <formula>#REF!</formula>
    </cfRule>
  </conditionalFormatting>
  <conditionalFormatting sqref="N22">
    <cfRule type="cellIs" dxfId="2899" priority="128" stopIfTrue="1" operator="greaterThan">
      <formula>$BL$16</formula>
    </cfRule>
    <cfRule type="cellIs" dxfId="2898" priority="129" stopIfTrue="1" operator="lessThan">
      <formula>$BK$16</formula>
    </cfRule>
  </conditionalFormatting>
  <conditionalFormatting sqref="N18:N20">
    <cfRule type="cellIs" dxfId="2897" priority="126" stopIfTrue="1" operator="greaterThan">
      <formula>$BL$16</formula>
    </cfRule>
    <cfRule type="cellIs" dxfId="2896" priority="127" stopIfTrue="1" operator="lessThan">
      <formula>$BK$16</formula>
    </cfRule>
  </conditionalFormatting>
  <conditionalFormatting sqref="N25">
    <cfRule type="cellIs" dxfId="2895" priority="124" stopIfTrue="1" operator="greaterThan">
      <formula>$BL$16</formula>
    </cfRule>
    <cfRule type="cellIs" dxfId="2894" priority="125" stopIfTrue="1" operator="lessThan">
      <formula>$BK$16</formula>
    </cfRule>
  </conditionalFormatting>
  <conditionalFormatting sqref="N28:N29">
    <cfRule type="cellIs" dxfId="2893" priority="122" stopIfTrue="1" operator="greaterThan">
      <formula>$BL$25</formula>
    </cfRule>
    <cfRule type="cellIs" dxfId="2892" priority="123" stopIfTrue="1" operator="lessThan">
      <formula>$BK$25</formula>
    </cfRule>
  </conditionalFormatting>
  <conditionalFormatting sqref="N28:N29">
    <cfRule type="cellIs" dxfId="2891" priority="120" stopIfTrue="1" operator="greaterThan">
      <formula>$BL$16</formula>
    </cfRule>
    <cfRule type="cellIs" dxfId="2890" priority="121" stopIfTrue="1" operator="lessThan">
      <formula>$BK$16</formula>
    </cfRule>
  </conditionalFormatting>
  <conditionalFormatting sqref="N11:N12">
    <cfRule type="cellIs" dxfId="2889" priority="110" stopIfTrue="1" operator="greaterThan">
      <formula>$BL$9</formula>
    </cfRule>
    <cfRule type="cellIs" dxfId="2888" priority="111" stopIfTrue="1" operator="lessThan">
      <formula>$BK$9</formula>
    </cfRule>
  </conditionalFormatting>
  <conditionalFormatting sqref="P16:P22">
    <cfRule type="cellIs" dxfId="2887" priority="108" stopIfTrue="1" operator="notBetween">
      <formula>$Q$37</formula>
      <formula>$Q$38</formula>
    </cfRule>
  </conditionalFormatting>
  <conditionalFormatting sqref="P17">
    <cfRule type="cellIs" dxfId="2886" priority="107" stopIfTrue="1" operator="notBetween">
      <formula>$Q$37</formula>
      <formula>$Q$38</formula>
    </cfRule>
  </conditionalFormatting>
  <conditionalFormatting sqref="N17">
    <cfRule type="cellIs" dxfId="2885" priority="784" stopIfTrue="1" operator="greaterThan">
      <formula>$BF$17</formula>
    </cfRule>
    <cfRule type="cellIs" dxfId="2884" priority="785" stopIfTrue="1" operator="lessThan">
      <formula>$BE$17</formula>
    </cfRule>
  </conditionalFormatting>
  <conditionalFormatting sqref="O17">
    <cfRule type="cellIs" dxfId="2883" priority="91" stopIfTrue="1" operator="lessThan">
      <formula>$BK$17</formula>
    </cfRule>
    <cfRule type="cellIs" dxfId="2882" priority="92" stopIfTrue="1" operator="greaterThan">
      <formula>$BL$17</formula>
    </cfRule>
  </conditionalFormatting>
  <conditionalFormatting sqref="O12">
    <cfRule type="expression" dxfId="2881" priority="1720" stopIfTrue="1">
      <formula>$O$12&lt;$BK$12</formula>
    </cfRule>
    <cfRule type="expression" dxfId="2880" priority="1721" stopIfTrue="1">
      <formula>$O$12&gt;$BL$12</formula>
    </cfRule>
  </conditionalFormatting>
  <conditionalFormatting sqref="O10">
    <cfRule type="expression" dxfId="2879" priority="81" stopIfTrue="1">
      <formula>$O$12&lt;$BK$12</formula>
    </cfRule>
    <cfRule type="expression" dxfId="2878" priority="82" stopIfTrue="1">
      <formula>$O$12&gt;$BL$12</formula>
    </cfRule>
  </conditionalFormatting>
  <conditionalFormatting sqref="O18">
    <cfRule type="cellIs" dxfId="2877" priority="79" stopIfTrue="1" operator="lessThan">
      <formula>$BK$17</formula>
    </cfRule>
    <cfRule type="cellIs" dxfId="2876" priority="80" stopIfTrue="1" operator="greaterThan">
      <formula>$BL$17</formula>
    </cfRule>
  </conditionalFormatting>
  <conditionalFormatting sqref="H11">
    <cfRule type="cellIs" dxfId="2875" priority="71" stopIfTrue="1" operator="greaterThan">
      <formula>$BF$11</formula>
    </cfRule>
    <cfRule type="cellIs" dxfId="2874" priority="72" stopIfTrue="1" operator="lessThan">
      <formula>$BE$11</formula>
    </cfRule>
  </conditionalFormatting>
  <conditionalFormatting sqref="H12">
    <cfRule type="cellIs" dxfId="2873" priority="69" stopIfTrue="1" operator="greaterThan">
      <formula>$BF$12</formula>
    </cfRule>
    <cfRule type="cellIs" dxfId="2872" priority="70" stopIfTrue="1" operator="lessThan">
      <formula>$BE$12</formula>
    </cfRule>
  </conditionalFormatting>
  <conditionalFormatting sqref="AI28">
    <cfRule type="cellIs" dxfId="2871" priority="16" stopIfTrue="1" operator="notBetween">
      <formula>$AI$37</formula>
      <formula>$AI$38</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45"/>
  <sheetViews>
    <sheetView topLeftCell="C1" zoomScale="85" zoomScaleNormal="85" workbookViewId="0">
      <selection activeCell="C1" sqref="C1"/>
    </sheetView>
  </sheetViews>
  <sheetFormatPr baseColWidth="10" defaultRowHeight="12.75"/>
  <cols>
    <col min="1" max="1" width="11.42578125" hidden="1" customWidth="1"/>
    <col min="2" max="2" width="9.42578125" style="18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89"/>
      <c r="D2" s="286" t="str">
        <f>Criterios!A9 &amp;"  "&amp;Criterios!B9</f>
        <v>Tribunales de Justicia  ANDALUCIA</v>
      </c>
      <c r="E2" s="287"/>
    </row>
    <row r="3" spans="2:20" ht="17.25" customHeight="1">
      <c r="C3" s="291"/>
      <c r="D3" s="286" t="str">
        <f>Criterios!A10 &amp;"  "&amp;Criterios!B10</f>
        <v>Provincias  MALAGA</v>
      </c>
      <c r="E3" s="287"/>
    </row>
    <row r="4" spans="2:20" ht="17.25" customHeight="1" thickBot="1">
      <c r="D4" s="286" t="str">
        <f>Criterios!A11 &amp;"  "&amp;Criterios!B11</f>
        <v>Resumenes por Partidos Judiciales  MALAGA</v>
      </c>
      <c r="E4" s="287"/>
    </row>
    <row r="5" spans="2:20" ht="12.75" customHeight="1">
      <c r="B5" s="297"/>
      <c r="C5" s="1645" t="str">
        <f>"Año:  " &amp;Criterios!B5 &amp; "          Trimestre   " &amp;Criterios!D5 &amp; " al " &amp;Criterios!D6</f>
        <v>Año:  2021          Trimestre   1 al 4</v>
      </c>
      <c r="D5" s="1633" t="s">
        <v>176</v>
      </c>
      <c r="E5" s="1675" t="s">
        <v>18</v>
      </c>
      <c r="F5" s="1672" t="s">
        <v>14</v>
      </c>
      <c r="G5" s="1669" t="s">
        <v>177</v>
      </c>
      <c r="H5" s="1666" t="s">
        <v>12</v>
      </c>
      <c r="I5" s="1630" t="s">
        <v>167</v>
      </c>
      <c r="J5" s="1659" t="s">
        <v>168</v>
      </c>
      <c r="K5" s="1621" t="s">
        <v>169</v>
      </c>
      <c r="M5" s="175"/>
      <c r="N5" s="183" t="s">
        <v>357</v>
      </c>
      <c r="O5" s="175"/>
      <c r="P5" s="175"/>
      <c r="Q5" s="184" t="s">
        <v>358</v>
      </c>
      <c r="R5" s="184"/>
      <c r="S5" s="182"/>
      <c r="T5" s="182"/>
    </row>
    <row r="6" spans="2:20" ht="12.75" customHeight="1">
      <c r="B6" s="298"/>
      <c r="C6" s="1646"/>
      <c r="D6" s="1634"/>
      <c r="E6" s="1676"/>
      <c r="F6" s="1673"/>
      <c r="G6" s="1670"/>
      <c r="H6" s="1667"/>
      <c r="I6" s="1631"/>
      <c r="J6" s="1660"/>
      <c r="K6" s="1622"/>
      <c r="M6" s="1662" t="s">
        <v>373</v>
      </c>
      <c r="N6" s="1662" t="s">
        <v>354</v>
      </c>
      <c r="O6" s="1662" t="s">
        <v>355</v>
      </c>
      <c r="P6" s="1662" t="s">
        <v>356</v>
      </c>
      <c r="Q6" s="1662" t="s">
        <v>373</v>
      </c>
      <c r="R6" s="1662" t="s">
        <v>354</v>
      </c>
      <c r="S6" s="1662" t="s">
        <v>355</v>
      </c>
      <c r="T6" s="1662" t="s">
        <v>356</v>
      </c>
    </row>
    <row r="7" spans="2:20" ht="23.25" customHeight="1" thickBot="1">
      <c r="B7" s="299"/>
      <c r="C7" s="288" t="str">
        <f>Datos!A7</f>
        <v>COMPETENCIAS</v>
      </c>
      <c r="D7" s="1678"/>
      <c r="E7" s="1677"/>
      <c r="F7" s="1674"/>
      <c r="G7" s="1671"/>
      <c r="H7" s="1668"/>
      <c r="I7" s="1679"/>
      <c r="J7" s="1663"/>
      <c r="K7" s="1664"/>
      <c r="M7" s="1662"/>
      <c r="N7" s="1662"/>
      <c r="O7" s="1662"/>
      <c r="P7" s="1662"/>
      <c r="Q7" s="1662"/>
      <c r="R7" s="1662"/>
      <c r="S7" s="1662"/>
      <c r="T7" s="1662"/>
    </row>
    <row r="8" spans="2:20" ht="14.25">
      <c r="B8" s="189"/>
      <c r="C8" s="174" t="str">
        <f>Datos!A8</f>
        <v>Jurisdicción Civil ( 1 ):</v>
      </c>
      <c r="D8" s="262"/>
      <c r="E8" s="263"/>
      <c r="F8" s="263"/>
      <c r="G8" s="263"/>
      <c r="H8" s="294"/>
      <c r="I8" s="264"/>
      <c r="J8" s="264"/>
      <c r="K8" s="265"/>
      <c r="M8" s="175"/>
      <c r="N8" s="175"/>
      <c r="O8" s="175"/>
      <c r="P8" s="175"/>
      <c r="Q8" s="176"/>
      <c r="R8" s="176"/>
      <c r="S8" s="176"/>
      <c r="T8" s="176"/>
    </row>
    <row r="9" spans="2:20" ht="14.25">
      <c r="B9" s="190" t="s">
        <v>324</v>
      </c>
      <c r="C9" s="173" t="str">
        <f>Datos!A9</f>
        <v xml:space="preserve">Jdos. 1ª Instancia   </v>
      </c>
      <c r="D9" s="394" t="str">
        <f>IF(ISNUMBER((Indicadores!G9-(Datos!S9-M9+Q9))/(Datos!S9-M9+Q9)),(Indicadores!G9-(Datos!S9-M9+Q9))/(Datos!S9-M9+Q9)," - ")</f>
        <v xml:space="preserve"> - </v>
      </c>
      <c r="E9" s="394" t="str">
        <f>IF(ISNUMBER((Indicadores!H9-(Datos!T9-N9+R9))/(Datos!T9-N9+R9)),(Indicadores!H9-(Datos!T9-N9+R9))/(Datos!T9-N9+R9)," - ")</f>
        <v xml:space="preserve"> - </v>
      </c>
      <c r="F9" s="394" t="str">
        <f>IF(ISNUMBER((Indicadores!W9-(Datos!U9-O9+S9))/(Datos!U9-O9+S9)),(Indicadores!W9-(Datos!U9-O9+S9))/(Datos!U9-O9+S9)," - ")</f>
        <v xml:space="preserve"> - </v>
      </c>
      <c r="G9" s="395" t="str">
        <f>IF(ISNUMBER((Indicadores!AA9-(Datos!V9-P9+T9))/(Datos!V9-P9+T9)),(Indicadores!AA9-(Datos!V9-P9+T9))/(Datos!V9-P9+T9)," - ")</f>
        <v xml:space="preserve"> - </v>
      </c>
      <c r="H9" s="244">
        <f>IF(ISNUMBER((Datos!M9-Datos!W9)/Datos!W9),(Datos!M9-Datos!W9)/Datos!W9," - ")</f>
        <v>0.39391071146868589</v>
      </c>
      <c r="I9" s="396">
        <f>IF(ISNUMBER((Tasas!C9-Datos!BE9)/Datos!BE9),(Tasas!C9-Datos!BE9)/Datos!BE9," - ")</f>
        <v>-0.15832395267934071</v>
      </c>
      <c r="J9" s="395">
        <f>IF(ISNUMBER((Tasas!D9-Datos!BF9)/Datos!BF9),(Tasas!D9-Datos!BF9)/Datos!BF9," - ")</f>
        <v>-0.58247531286065357</v>
      </c>
      <c r="K9" s="397">
        <f>IF(ISNUMBER((Tasas!E9-Datos!BG9)/Datos!BG9),(Tasas!E9-Datos!BG9)/Datos!BG9," - ")</f>
        <v>-9.2111700277291722E-2</v>
      </c>
      <c r="M9" t="e">
        <f>IF(Monitorios="SI",Datos!CE9,0)</f>
        <v>#REF!</v>
      </c>
      <c r="N9" t="e">
        <f>IF(Monitorios="SI",Datos!CF9,0)</f>
        <v>#REF!</v>
      </c>
      <c r="O9" t="e">
        <f>IF(Monitorios="SI",Datos!CG9,0)</f>
        <v>#REF!</v>
      </c>
      <c r="P9" t="e">
        <f>IF(Monitorios="SI",Datos!CH9,0)</f>
        <v>#REF!</v>
      </c>
      <c r="Q9">
        <f>IF(J_V="SI",0,Datos!AG9)</f>
        <v>441</v>
      </c>
      <c r="R9">
        <f>IF(J_V="SI",0,Datos!AH9)</f>
        <v>3098</v>
      </c>
      <c r="S9">
        <f>IF(J_V="SI",0,Datos!AI9)</f>
        <v>3230</v>
      </c>
      <c r="T9">
        <f>IF(J_V="SI",0,Datos!AJ9)</f>
        <v>309</v>
      </c>
    </row>
    <row r="10" spans="2:20" ht="14.25">
      <c r="B10" s="300" t="s">
        <v>324</v>
      </c>
      <c r="C10" s="7" t="str">
        <f>Datos!A10</f>
        <v>Jdos. Violencia contra la mujer</v>
      </c>
      <c r="D10" s="398">
        <f>IF(ISNUMBER((Datos!I10-Datos!S10)/Datos!S10),(Datos!I10-Datos!S10)/Datos!S10," - ")</f>
        <v>0.10169491525423729</v>
      </c>
      <c r="E10" s="394">
        <f>IF(ISNUMBER((Datos!J10-Datos!T10)/Datos!T10),(Datos!J10-Datos!T10)/Datos!T10," - ")</f>
        <v>-0.14519056261343014</v>
      </c>
      <c r="F10" s="394">
        <f>IF(ISNUMBER((Datos!K10-Datos!U10)/Datos!U10),(Datos!K10-Datos!U10)/Datos!U10," - ")</f>
        <v>9.4876660341555973E-3</v>
      </c>
      <c r="G10" s="395">
        <f>IF(ISNUMBER((Datos!L10-Datos!V10)/Datos!V10),(Datos!L10-Datos!V10)/Datos!V10," - ")</f>
        <v>-0.2153846153846154</v>
      </c>
      <c r="H10" s="244">
        <f>IF(ISNUMBER((Datos!M10-Datos!W10)/Datos!W10),(Datos!M10-Datos!W10)/Datos!W10," - ")</f>
        <v>0.37086092715231789</v>
      </c>
      <c r="I10" s="396">
        <f>IF(ISNUMBER((Tasas!C10-Datos!BE10)/Datos!BE10),(Tasas!C10-Datos!BE10)/Datos!BE10," - ")</f>
        <v>-0.22275882012724121</v>
      </c>
      <c r="J10" s="395">
        <f>IF(ISNUMBER((Tasas!D10-Datos!BF10)/Datos!BF10),(Tasas!D10-Datos!BF10)/Datos!BF10," - ")</f>
        <v>0.35797689588208953</v>
      </c>
      <c r="K10" s="397">
        <f>IF(ISNUMBER((Tasas!E10-Datos!BG10)/Datos!BG10),(Tasas!E10-Datos!BG10)/Datos!BG10," - ")</f>
        <v>-7.988602382703909E-2</v>
      </c>
    </row>
    <row r="11" spans="2:20" ht="14.25">
      <c r="B11" s="300" t="s">
        <v>324</v>
      </c>
      <c r="C11" s="173" t="str">
        <f>Datos!A11</f>
        <v xml:space="preserve">Jdos. Familia                                   </v>
      </c>
      <c r="D11" s="394" t="str">
        <f>IF(ISNUMBER((Indicadores!G11-(Datos!S11-M11+Q11))/(Datos!S11-M11+Q11)),(Indicadores!G11-(Datos!S11-M11+Q11))/(Datos!S11-M11+Q11)," - ")</f>
        <v xml:space="preserve"> - </v>
      </c>
      <c r="E11" s="394" t="str">
        <f>IF(ISNUMBER((Indicadores!H11-(Datos!T11-N11+R11))/(Datos!T11-N11+R11)),(Indicadores!H11-(Datos!T11-N11+R11))/(Datos!T11-N11+R11)," - ")</f>
        <v xml:space="preserve"> - </v>
      </c>
      <c r="F11" s="394" t="str">
        <f>IF(ISNUMBER((Indicadores!W11-(Datos!U11-O11+S11))/(Datos!U11-O11+S11)),(Indicadores!W11-(Datos!U11-O11+S11))/(Datos!U11-O11+S11)," - ")</f>
        <v xml:space="preserve"> - </v>
      </c>
      <c r="G11" s="395" t="str">
        <f>IF(ISNUMBER((Indicadores!AA11-(Datos!V11-P11+T11))/(Datos!V11-P11+T11)),(Indicadores!AA11-(Datos!V11-P11+T11))/(Datos!V11-P11+T11)," - ")</f>
        <v xml:space="preserve"> - </v>
      </c>
      <c r="H11" s="244">
        <f>IF(ISNUMBER((Datos!M11-Datos!W11)/Datos!W11),(Datos!M11-Datos!W11)/Datos!W11," - ")</f>
        <v>0.60886426592797782</v>
      </c>
      <c r="I11" s="396">
        <f>IF(ISNUMBER((Tasas!C11-Datos!BE11)/Datos!BE11),(Tasas!C11-Datos!BE11)/Datos!BE11," - ")</f>
        <v>-0.44021388427400293</v>
      </c>
      <c r="J11" s="395">
        <f>IF(ISNUMBER((Tasas!D11-Datos!BF11)/Datos!BF11),(Tasas!D11-Datos!BF11)/Datos!BF11," - ")</f>
        <v>0.66952875760818087</v>
      </c>
      <c r="K11" s="397">
        <f>IF(ISNUMBER((Tasas!E11-Datos!BG11)/Datos!BG11),(Tasas!E11-Datos!BG11)/Datos!BG11," - ")</f>
        <v>-0.20287522957085247</v>
      </c>
      <c r="M11" t="e">
        <f>IF(Monitorios="SI",Datos!CE11,0)</f>
        <v>#REF!</v>
      </c>
      <c r="N11" t="e">
        <f>IF(Monitorios="SI",Datos!CF11,0)</f>
        <v>#REF!</v>
      </c>
      <c r="O11" t="e">
        <f>IF(Monitorios="SI",Datos!CG11,0)</f>
        <v>#REF!</v>
      </c>
      <c r="P11" t="e">
        <f>IF(Monitorios="SI",Datos!CH11,0)</f>
        <v>#REF!</v>
      </c>
      <c r="Q11">
        <f>IF(J_V="SI",0,Datos!AG11)</f>
        <v>126</v>
      </c>
      <c r="R11">
        <f>IF(J_V="SI",0,Datos!AH11)</f>
        <v>321</v>
      </c>
      <c r="S11">
        <f>IF(J_V="SI",0,Datos!AI11)</f>
        <v>305</v>
      </c>
      <c r="T11">
        <f>IF(J_V="SI",0,Datos!AJ11)</f>
        <v>142</v>
      </c>
    </row>
    <row r="12" spans="2:20" ht="14.25">
      <c r="B12" s="300" t="s">
        <v>324</v>
      </c>
      <c r="C12" s="173" t="str">
        <f>Datos!A12</f>
        <v xml:space="preserve">Jdos. 1ª Instª. e Instr.                        </v>
      </c>
      <c r="D12" s="394" t="str">
        <f>IF(ISNUMBER((Indicadores!G12-(Datos!S12+M12+Q12))/(Datos!S12+M12+Q12)),(Indicadores!G12-(Datos!S12+M12+Q12))/(Datos!S12+M12+Q12)," - ")</f>
        <v xml:space="preserve"> - </v>
      </c>
      <c r="E12" s="394" t="str">
        <f>IF(ISNUMBER((Indicadores!H12-(Datos!T12+N12+R12))/(Datos!T12+N12+R12)),(Indicadores!H12-(Datos!T12+N12+R12))/(Datos!T12+N12+R12)," - ")</f>
        <v xml:space="preserve"> - </v>
      </c>
      <c r="F12" s="394" t="str">
        <f>IF(ISNUMBER((Indicadores!W12-(Datos!U12+O12+S12))/(Datos!U12+O12+S12)),(Indicadores!W12-(Datos!U12+O12+S12))/(Datos!U12+O12+S12)," - ")</f>
        <v xml:space="preserve"> - </v>
      </c>
      <c r="G12" s="395" t="str">
        <f>IF(ISNUMBER((Indicadores!AA12-(Datos!V12-P12+T12))/(Datos!V12-P12+T12)),(Indicadores!AA12-(Datos!V12-P12+T12))/(Datos!V12-P12+T12)," - ")</f>
        <v xml:space="preserve"> - </v>
      </c>
      <c r="H12" s="244" t="str">
        <f>IF(ISNUMBER((Datos!M12-Datos!W12)/Datos!W12),(Datos!M12-Datos!W12)/Datos!W12," - ")</f>
        <v xml:space="preserve"> - </v>
      </c>
      <c r="I12" s="396" t="str">
        <f>IF(ISNUMBER((Tasas!C12-Datos!BE12)/Datos!BE12),(Tasas!C12-Datos!BE12)/Datos!BE12," - ")</f>
        <v xml:space="preserve"> - </v>
      </c>
      <c r="J12" s="395" t="str">
        <f>IF(ISNUMBER((Tasas!D12-Datos!BF12)/Datos!BF12),(Tasas!D12-Datos!BF12)/Datos!BF12," - ")</f>
        <v xml:space="preserve"> - </v>
      </c>
      <c r="K12" s="397"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5" thickBot="1">
      <c r="B13" s="300" t="s">
        <v>324</v>
      </c>
      <c r="C13" s="7" t="str">
        <f>Datos!A13</f>
        <v xml:space="preserve">Jdos. de Menores    </v>
      </c>
      <c r="D13" s="398" t="str">
        <f>IF(ISNUMBER((Datos!I13-Datos!S13)/Datos!S13),(Datos!I13-Datos!S13)/Datos!S13," - ")</f>
        <v xml:space="preserve"> - </v>
      </c>
      <c r="E13" s="394" t="str">
        <f>IF(ISNUMBER((Datos!J13-Datos!T13)/Datos!T13),(Datos!J13-Datos!T13)/Datos!T13," - ")</f>
        <v xml:space="preserve"> - </v>
      </c>
      <c r="F13" s="394" t="str">
        <f>IF(ISNUMBER((Datos!K13-Datos!U13)/Datos!U13),(Datos!K13-Datos!U13)/Datos!U13," - ")</f>
        <v xml:space="preserve"> - </v>
      </c>
      <c r="G13" s="395" t="str">
        <f>IF(ISNUMBER((Datos!L13-Datos!V13)/Datos!V13),(Datos!L13-Datos!V13)/Datos!V13," - ")</f>
        <v xml:space="preserve"> - </v>
      </c>
      <c r="H13" s="244" t="str">
        <f>IF(ISNUMBER((Datos!M13-Datos!W13)/Datos!W13),(Datos!M13-Datos!W13)/Datos!W13," - ")</f>
        <v xml:space="preserve"> - </v>
      </c>
      <c r="I13" s="396" t="str">
        <f>IF(ISNUMBER((Tasas!C13-Datos!BE13)/Datos!BE13),(Tasas!C13-Datos!BE13)/Datos!BE13," - ")</f>
        <v xml:space="preserve"> - </v>
      </c>
      <c r="J13" s="395" t="str">
        <f>IF(ISNUMBER((Tasas!D13-Datos!BF13)/Datos!BF13),(Tasas!D13-Datos!BF13)/Datos!BF13," - ")</f>
        <v xml:space="preserve"> - </v>
      </c>
      <c r="K13" s="397" t="str">
        <f>IF(ISNUMBER((Tasas!E13-Datos!BG13)/Datos!BG13),(Tasas!E13-Datos!BG13)/Datos!BG13," - ")</f>
        <v xml:space="preserve"> - </v>
      </c>
    </row>
    <row r="14" spans="2:20" ht="16.5" hidden="1" thickTop="1" thickBot="1">
      <c r="B14" s="191"/>
      <c r="C14" s="75" t="str">
        <f>Datos!A14</f>
        <v>TOTAL</v>
      </c>
      <c r="D14" s="399" t="str">
        <f>IF(ISNUMBER((Indicadores!G14-(Datos!S14-M14+Q14))/(Datos!S14-M14+Q14)),(Indicadores!G14-(Datos!S14-M14+Q14))/(Datos!S14-M14+Q14)," - ")</f>
        <v xml:space="preserve"> - </v>
      </c>
      <c r="E14" s="400" t="str">
        <f>IF(ISNUMBER((Indicadores!H14-(Datos!T14-N14+R14))/(Datos!T14-N14+R14)),(Indicadores!H14-(Datos!T14-N14+R14))/(Datos!T14-N14+R14)," - ")</f>
        <v xml:space="preserve"> - </v>
      </c>
      <c r="F14" s="400" t="str">
        <f>IF(ISNUMBER((Indicadores!W14-(Datos!U14-O14+S14))/(Datos!U14-O14+S14)),(Indicadores!W14-(Datos!U14-O14+S14))/(Datos!U14-O14+S14)," - ")</f>
        <v xml:space="preserve"> - </v>
      </c>
      <c r="G14" s="401" t="str">
        <f>IF(ISNUMBER((Indicadores!F14-(Datos!V14-P14+T14))/(Datos!V14-P14+T14)),(Indicadores!F14-(Datos!V14-P14+T14))/(Datos!V14-P14+T14)," - ")</f>
        <v xml:space="preserve"> - </v>
      </c>
      <c r="H14" s="402">
        <f>IF(ISNUMBER((Datos!M14-Datos!W14)/Datos!W14),(Datos!M14-Datos!W14)/Datos!W14," - ")</f>
        <v>0.44026522001205548</v>
      </c>
      <c r="I14" s="403">
        <f>IF(ISNUMBER((Tasas!C14-Datos!BE14)/Datos!BE14),(Tasas!C14-Datos!BE14)/Datos!BE14," - ")</f>
        <v>-0.19676196749992644</v>
      </c>
      <c r="J14" s="401">
        <f>IF(ISNUMBER((Tasas!D14-Datos!BF14)/Datos!BF14),(Tasas!D14-Datos!BF14)/Datos!BF14," - ")</f>
        <v>-0.48647797505084656</v>
      </c>
      <c r="K14" s="404">
        <f>IF(ISNUMBER((Tasas!E14-Datos!BG14)/Datos!BG14),(Tasas!E14-Datos!BG14)/Datos!BG14," - ")</f>
        <v>-0.10640718819236959</v>
      </c>
      <c r="M14" t="e">
        <f>IF(Monitorios="SI",Datos!CE14,0)</f>
        <v>#REF!</v>
      </c>
      <c r="N14" t="e">
        <f>IF(Monitorios="SI",Datos!CF14,0)</f>
        <v>#REF!</v>
      </c>
      <c r="O14" t="e">
        <f>IF(Monitorios="SI",Datos!CG14,0)</f>
        <v>#REF!</v>
      </c>
      <c r="P14" t="e">
        <f>IF(Monitorios="SI",Datos!CH14,0)</f>
        <v>#REF!</v>
      </c>
      <c r="Q14">
        <f>IF(J_V="SI",0,Datos!AG14)</f>
        <v>567</v>
      </c>
      <c r="R14">
        <f>IF(J_V="SI",0,Datos!AH14)</f>
        <v>3419</v>
      </c>
      <c r="S14">
        <f>IF(J_V="SI",0,Datos!AI14)</f>
        <v>3535</v>
      </c>
      <c r="T14">
        <f>IF(J_V="SI",0,Datos!AJ14)</f>
        <v>451</v>
      </c>
    </row>
    <row r="15" spans="2:20" ht="15" thickTop="1">
      <c r="B15" s="192"/>
      <c r="C15" s="73" t="str">
        <f>Datos!A15</f>
        <v xml:space="preserve">Jurisdicción Penal ( 2 ):                      </v>
      </c>
      <c r="D15" s="269"/>
      <c r="E15" s="270"/>
      <c r="F15" s="270"/>
      <c r="G15" s="270"/>
      <c r="H15" s="295"/>
      <c r="I15" s="270"/>
      <c r="J15" s="270"/>
      <c r="K15" s="313"/>
    </row>
    <row r="16" spans="2:20" ht="14.25">
      <c r="B16" s="300" t="s">
        <v>515</v>
      </c>
      <c r="C16" s="7" t="str">
        <f>Datos!A16</f>
        <v xml:space="preserve">Jdos. Instrucción                               </v>
      </c>
      <c r="D16" s="398">
        <f>IF(ISNUMBER(
   IF(D_I="SI",(Datos!I16-Datos!S16)/Datos!S16,(Datos!I16+Datos!AC16-(Datos!S16+Datos!AK16))/(Datos!S16+Datos!AK16))
     ),IF(D_I="SI",(Datos!I16-Datos!S16)/Datos!S16,(Datos!I16+Datos!AC16-(Datos!S16+Datos!AK16))/(Datos!S16+Datos!AK16))," - ")</f>
        <v>0.17131217838765009</v>
      </c>
      <c r="E16" s="394">
        <f>IF(ISNUMBER(
   IF(D_I="SI",(Datos!J16-Datos!T16)/Datos!T16,(Datos!J16+Datos!AD16-(Datos!T16+Datos!AL16))/(Datos!T16+Datos!AL16))
     ),IF(D_I="SI",(Datos!J16-Datos!T16)/Datos!T16,(Datos!J16+Datos!AD16-(Datos!T16+Datos!AL16))/(Datos!T16+Datos!AL16))," - ")</f>
        <v>0.15987636976678843</v>
      </c>
      <c r="F16" s="394">
        <f>IF(ISNUMBER(
   IF(D_I="SI",(Datos!K16-Datos!U16)/Datos!U16,(Datos!K16+Datos!AE16-(Datos!U16+Datos!AM16))/(Datos!U16+Datos!AM16))
     ),IF(D_I="SI",(Datos!K16-Datos!U16)/Datos!U16,(Datos!K16+Datos!AE16-(Datos!U16+Datos!AM16))/(Datos!U16+Datos!AM16))," - ")</f>
        <v>0.18307308970099667</v>
      </c>
      <c r="G16" s="395">
        <f>IF(ISNUMBER(
   IF(D_I="SI",(Datos!L16-Datos!V16)/Datos!V16,(Datos!L16+Datos!AF16-(Datos!V16+Datos!AN16))/(Datos!V16+Datos!AN16))
     ),IF(D_I="SI",(Datos!L16-Datos!V16)/Datos!V16,(Datos!L16+Datos!AF16-(Datos!V16+Datos!AN16))/(Datos!V16+Datos!AN16))," - ")</f>
        <v>-7.248764415156507E-2</v>
      </c>
      <c r="H16" s="244">
        <f>IF(ISNUMBER((Datos!M16-Datos!W16)/Datos!W16),(Datos!M16-Datos!W16)/Datos!W16," - ")</f>
        <v>0.36558880308880309</v>
      </c>
      <c r="I16" s="396">
        <f>IF(ISNUMBER((Tasas!C16-Datos!BE16)/Datos!BE16),(Tasas!C16-Datos!BE16)/Datos!BE16," - ")</f>
        <v>-0.21601432411682253</v>
      </c>
      <c r="J16" s="395">
        <f>IF(ISNUMBER((Tasas!D16-Datos!BF16)/Datos!BF16),(Tasas!D16-Datos!BF16)/Datos!BF16," - ")</f>
        <v>0.15427255930057071</v>
      </c>
      <c r="K16" s="397">
        <f>IF(ISNUMBER((Tasas!E16-Datos!BG16)/Datos!BG16),(Tasas!E16-Datos!BG16)/Datos!BG16," - ")</f>
        <v>-1.8915365153965618E-2</v>
      </c>
    </row>
    <row r="17" spans="2:20" ht="14.25">
      <c r="B17" s="300" t="s">
        <v>515</v>
      </c>
      <c r="C17" s="7" t="str">
        <f>Datos!A17</f>
        <v xml:space="preserve">Jdos. 1ª Instª. e Instr.                        </v>
      </c>
      <c r="D17" s="398" t="str">
        <f>IF(ISNUMBER(
   IF(D_I="SI",(Datos!I17-Datos!S17)/Datos!S17,(Datos!I17+Datos!AC17-(Datos!S17+Datos!AK17))/(Datos!S17+Datos!AK17))
     ),IF(D_I="SI",(Datos!I17-Datos!S17)/Datos!S17,(Datos!I17+Datos!AC17-(Datos!S17+Datos!AK17))/(Datos!S17+Datos!AK17))," - ")</f>
        <v xml:space="preserve"> - </v>
      </c>
      <c r="E17" s="394" t="str">
        <f>IF(ISNUMBER(
   IF(D_I="SI",(Datos!J17-Datos!T17)/Datos!T17,(Datos!J17+Datos!AD17-(Datos!T17+Datos!AL17))/(Datos!T17+Datos!AL17))
     ),IF(D_I="SI",(Datos!J17-Datos!T17)/Datos!T17,(Datos!J17+Datos!AD17-(Datos!T17+Datos!AL17))/(Datos!T17+Datos!AL17))," - ")</f>
        <v xml:space="preserve"> - </v>
      </c>
      <c r="F17" s="394" t="str">
        <f>IF(ISNUMBER(
   IF(D_I="SI",(Datos!K17-Datos!U17)/Datos!U17,(Datos!K17+Datos!AE17-(Datos!U17+Datos!AM17))/(Datos!U17+Datos!AM17))
     ),IF(D_I="SI",(Datos!K17-Datos!U17)/Datos!U17,(Datos!K17+Datos!AE17-(Datos!U17+Datos!AM17))/(Datos!U17+Datos!AM17))," - ")</f>
        <v xml:space="preserve"> - </v>
      </c>
      <c r="G17" s="395" t="str">
        <f>IF(ISNUMBER(
   IF(D_I="SI",(Datos!L17-Datos!V17)/Datos!V17,(Datos!L17+Datos!AF17-(Datos!V17+Datos!AN17))/(Datos!V17+Datos!AN17))
     ),IF(D_I="SI",(Datos!L17-Datos!V17)/Datos!V17,(Datos!L17+Datos!AF17-(Datos!V17+Datos!AN17))/(Datos!V17+Datos!AN17))," - ")</f>
        <v xml:space="preserve"> - </v>
      </c>
      <c r="H17" s="244" t="str">
        <f>IF(ISNUMBER((Datos!M17-Datos!W17)/Datos!W17),(Datos!M17-Datos!W17)/Datos!W17," - ")</f>
        <v xml:space="preserve"> - </v>
      </c>
      <c r="I17" s="396" t="str">
        <f>IF(ISNUMBER((Tasas!C17-Datos!BE17)/Datos!BE17),(Tasas!C17-Datos!BE17)/Datos!BE17," - ")</f>
        <v xml:space="preserve"> - </v>
      </c>
      <c r="J17" s="395" t="str">
        <f>IF(ISNUMBER((Tasas!D17-Datos!BF17)/Datos!BF17),(Tasas!D17-Datos!BF17)/Datos!BF17," - ")</f>
        <v xml:space="preserve"> - </v>
      </c>
      <c r="K17" s="397" t="str">
        <f>IF(ISNUMBER((Tasas!E17-Datos!BG17)/Datos!BG17),(Tasas!E17-Datos!BG17)/Datos!BG17," - ")</f>
        <v xml:space="preserve"> - </v>
      </c>
    </row>
    <row r="18" spans="2:20" ht="14.25">
      <c r="B18" s="300" t="s">
        <v>515</v>
      </c>
      <c r="C18" s="7" t="str">
        <f>Datos!A18</f>
        <v>Jdos. Violencia contra la mujer</v>
      </c>
      <c r="D18" s="398">
        <f>IF(ISNUMBER(
   IF(D_I="SI",(Datos!I18-Datos!S18)/Datos!S18,(Datos!I18+Datos!AC18-(Datos!S18+Datos!AK18))/(Datos!S18+Datos!AK18))
     ),IF(D_I="SI",(Datos!I18-Datos!S18)/Datos!S18,(Datos!I18+Datos!AC18-(Datos!S18+Datos!AK18))/(Datos!S18+Datos!AK18))," - ")</f>
        <v>0.29181494661921709</v>
      </c>
      <c r="E18" s="394">
        <f>IF(ISNUMBER(
   IF(D_I="SI",(Datos!J18-Datos!T18)/Datos!T18,(Datos!J18+Datos!AD18-(Datos!T18+Datos!AL18))/(Datos!T18+Datos!AL18))
     ),IF(D_I="SI",(Datos!J18-Datos!T18)/Datos!T18,(Datos!J18+Datos!AD18-(Datos!T18+Datos!AL18))/(Datos!T18+Datos!AL18))," - ")</f>
        <v>2.6492765437130628E-2</v>
      </c>
      <c r="F18" s="394">
        <f>IF(ISNUMBER(
   IF(D_I="SI",(Datos!K18-Datos!U18)/Datos!U18,(Datos!K18+Datos!AE18-(Datos!U18+Datos!AM18))/(Datos!U18+Datos!AM18))
     ),IF(D_I="SI",(Datos!K18-Datos!U18)/Datos!U18,(Datos!K18+Datos!AE18-(Datos!U18+Datos!AM18))/(Datos!U18+Datos!AM18))," - ")</f>
        <v>9.1712242322254944E-2</v>
      </c>
      <c r="G18" s="395">
        <f>IF(ISNUMBER(
   IF(D_I="SI",(Datos!L18-Datos!V18)/Datos!V18,(Datos!L18+Datos!AF18-(Datos!V18+Datos!AN18))/(Datos!V18+Datos!AN18))
     ),IF(D_I="SI",(Datos!L18-Datos!V18)/Datos!V18,(Datos!L18+Datos!AF18-(Datos!V18+Datos!AN18))/(Datos!V18+Datos!AN18))," - ")</f>
        <v>-0.12947658402203857</v>
      </c>
      <c r="H18" s="244">
        <f>IF(ISNUMBER((Datos!M18-Datos!W18)/Datos!W18),(Datos!M18-Datos!W18)/Datos!W18," - ")</f>
        <v>0.50299401197604787</v>
      </c>
      <c r="I18" s="396">
        <f>IF(ISNUMBER((Tasas!C18-Datos!BE18)/Datos!BE18),(Tasas!C18-Datos!BE18)/Datos!BE18," - ")</f>
        <v>-0.20260726020053399</v>
      </c>
      <c r="J18" s="395">
        <f>IF(ISNUMBER((Tasas!D18-Datos!BF18)/Datos!BF18),(Tasas!D18-Datos!BF18)/Datos!BF18," - ")</f>
        <v>0.37673093120118134</v>
      </c>
      <c r="K18" s="397">
        <f>IF(ISNUMBER((Tasas!E18-Datos!BG18)/Datos!BG18),(Tasas!E18-Datos!BG18)/Datos!BG18," - ")</f>
        <v>-3.4766212504108822E-2</v>
      </c>
    </row>
    <row r="19" spans="2:20" ht="14.25">
      <c r="B19" s="300" t="s">
        <v>515</v>
      </c>
      <c r="C19" s="7" t="str">
        <f>Datos!A19</f>
        <v xml:space="preserve">Jdos. de Menores                                </v>
      </c>
      <c r="D19" s="398" t="str">
        <f>IF(ISNUMBER((Datos!I19-Datos!S19)/Datos!S19),(Datos!I19-Datos!S19)/Datos!S19," - ")</f>
        <v xml:space="preserve"> - </v>
      </c>
      <c r="E19" s="394" t="str">
        <f>IF(ISNUMBER((Datos!J19-Datos!T19)/Datos!T19),(Datos!J19-Datos!T19)/Datos!T19," - ")</f>
        <v xml:space="preserve"> - </v>
      </c>
      <c r="F19" s="394" t="str">
        <f>IF(ISNUMBER((Datos!K19-Datos!U19)/Datos!U19),(Datos!K19-Datos!U19)/Datos!U19," - ")</f>
        <v xml:space="preserve"> - </v>
      </c>
      <c r="G19" s="395" t="str">
        <f>IF(ISNUMBER((Datos!L19-Datos!V19)/Datos!V19),(Datos!L19-Datos!V19)/Datos!V19," - ")</f>
        <v xml:space="preserve"> - </v>
      </c>
      <c r="H19" s="244" t="str">
        <f>IF(ISNUMBER((Datos!M19-Datos!W19)/Datos!W19),(Datos!M19-Datos!W19)/Datos!W19," - ")</f>
        <v xml:space="preserve"> - </v>
      </c>
      <c r="I19" s="396" t="str">
        <f>IF(ISNUMBER((Tasas!C19-Datos!BE19)/Datos!BE19),(Tasas!C19-Datos!BE19)/Datos!BE19," - ")</f>
        <v xml:space="preserve"> - </v>
      </c>
      <c r="J19" s="395" t="str">
        <f>IF(ISNUMBER((Tasas!D19-Datos!BF19)/Datos!BF19),(Tasas!D19-Datos!BF19)/Datos!BF19," - ")</f>
        <v xml:space="preserve"> - </v>
      </c>
      <c r="K19" s="397" t="str">
        <f>IF(ISNUMBER((Tasas!E19-Datos!BG19)/Datos!BG19),(Tasas!E19-Datos!BG19)/Datos!BG19," - ")</f>
        <v xml:space="preserve"> - </v>
      </c>
    </row>
    <row r="20" spans="2:20" ht="14.25">
      <c r="B20" s="300" t="s">
        <v>515</v>
      </c>
      <c r="C20" s="7" t="str">
        <f>Datos!A20</f>
        <v xml:space="preserve">Jdos. Vigilancia Penitenciaria                  </v>
      </c>
      <c r="D20" s="398" t="str">
        <f>IF(ISNUMBER((Datos!I20-Datos!S20)/Datos!S20),(Datos!I20-Datos!S20)/Datos!S20," - ")</f>
        <v xml:space="preserve"> - </v>
      </c>
      <c r="E20" s="394" t="str">
        <f>IF(ISNUMBER((Datos!J20-Datos!T20)/Datos!T20),(Datos!J20-Datos!T20)/Datos!T20," - ")</f>
        <v xml:space="preserve"> - </v>
      </c>
      <c r="F20" s="394" t="str">
        <f>IF(ISNUMBER((Datos!K20-Datos!U20)/Datos!U20),(Datos!K20-Datos!U20)/Datos!U20," - ")</f>
        <v xml:space="preserve"> - </v>
      </c>
      <c r="G20" s="395" t="str">
        <f>IF(ISNUMBER((Datos!L20-Datos!V20)/Datos!V20),(Datos!L20-Datos!V20)/Datos!V20," - ")</f>
        <v xml:space="preserve"> - </v>
      </c>
      <c r="H20" s="244" t="str">
        <f>IF(ISNUMBER((Datos!M20-Datos!W20)/Datos!W20),(Datos!M20-Datos!W20)/Datos!W20," - ")</f>
        <v xml:space="preserve"> - </v>
      </c>
      <c r="I20" s="396" t="str">
        <f>IF(ISNUMBER((Tasas!C20-Datos!BE20)/Datos!BE20),(Tasas!C20-Datos!BE20)/Datos!BE20," - ")</f>
        <v xml:space="preserve"> - </v>
      </c>
      <c r="J20" s="395" t="str">
        <f>IF(ISNUMBER((Tasas!D20-Datos!BF20)/Datos!BF20),(Tasas!D20-Datos!BF20)/Datos!BF20," - ")</f>
        <v xml:space="preserve"> - </v>
      </c>
      <c r="K20" s="397" t="str">
        <f>IF(ISNUMBER((Tasas!E20-Datos!BG20)/Datos!BG20),(Tasas!E20-Datos!BG20)/Datos!BG20," - ")</f>
        <v xml:space="preserve"> - </v>
      </c>
    </row>
    <row r="21" spans="2:20" ht="14.25">
      <c r="B21" s="300" t="s">
        <v>515</v>
      </c>
      <c r="C21" s="7" t="str">
        <f>Datos!A21</f>
        <v xml:space="preserve">Jdos. de lo Penal                               </v>
      </c>
      <c r="D21" s="398" t="str">
        <f>IF(ISNUMBER((Datos!I21-Datos!S21)/Datos!S21),(Datos!I21-Datos!S21)/Datos!S21," - ")</f>
        <v xml:space="preserve"> - </v>
      </c>
      <c r="E21" s="394" t="str">
        <f>IF(ISNUMBER((Datos!J21-Datos!T21)/Datos!T21),(Datos!J21-Datos!T21)/Datos!T21," - ")</f>
        <v xml:space="preserve"> - </v>
      </c>
      <c r="F21" s="394" t="str">
        <f>IF(ISNUMBER((Datos!K21-Datos!U21)/Datos!U21),(Datos!K21-Datos!U21)/Datos!U21," - ")</f>
        <v xml:space="preserve"> - </v>
      </c>
      <c r="G21" s="395" t="str">
        <f>IF(ISNUMBER((Datos!L21-Datos!V21)/Datos!V21),(Datos!L21-Datos!V21)/Datos!V21," - ")</f>
        <v xml:space="preserve"> - </v>
      </c>
      <c r="H21" s="244" t="str">
        <f>IF(ISNUMBER((Datos!M21-Datos!W21)/Datos!W21),(Datos!M21-Datos!W21)/Datos!W21," - ")</f>
        <v xml:space="preserve"> - </v>
      </c>
      <c r="I21" s="396" t="str">
        <f>IF(ISNUMBER((Tasas!C21-Datos!BE21)/Datos!BE21),(Tasas!C21-Datos!BE21)/Datos!BE21," - ")</f>
        <v xml:space="preserve"> - </v>
      </c>
      <c r="J21" s="395" t="str">
        <f>IF(ISNUMBER((Tasas!D21-Datos!BF21)/Datos!BF21),(Tasas!D21-Datos!BF21)/Datos!BF21," - ")</f>
        <v xml:space="preserve"> - </v>
      </c>
      <c r="K21" s="397" t="str">
        <f>IF(ISNUMBER((Tasas!E21-Datos!BG21)/Datos!BG21),(Tasas!E21-Datos!BG21)/Datos!BG21," - ")</f>
        <v xml:space="preserve"> - </v>
      </c>
    </row>
    <row r="22" spans="2:20" ht="15" thickBot="1">
      <c r="B22" s="300" t="s">
        <v>515</v>
      </c>
      <c r="C22" s="7" t="str">
        <f>Datos!A22</f>
        <v xml:space="preserve">Jdos. de lo Penal de Ejecutorias                </v>
      </c>
      <c r="D22" s="398" t="str">
        <f>IF(ISNUMBER((Datos!I22-Datos!S22)/Datos!S22),(Datos!I22-Datos!S22)/Datos!S22," - ")</f>
        <v xml:space="preserve"> - </v>
      </c>
      <c r="E22" s="394" t="str">
        <f>IF(ISNUMBER((Datos!J22-Datos!T22)/Datos!T22),(Datos!J22-Datos!T22)/Datos!T22," - ")</f>
        <v xml:space="preserve"> - </v>
      </c>
      <c r="F22" s="394" t="str">
        <f>IF(ISNUMBER((Datos!K22-Datos!U22)/Datos!U22),(Datos!K22-Datos!U22)/Datos!U22," - ")</f>
        <v xml:space="preserve"> - </v>
      </c>
      <c r="G22" s="395" t="str">
        <f>IF(ISNUMBER((Datos!L22-Datos!V22)/Datos!V22),(Datos!L22-Datos!V22)/Datos!V22," - ")</f>
        <v xml:space="preserve"> - </v>
      </c>
      <c r="H22" s="244" t="str">
        <f>IF(ISNUMBER((Datos!M22-Datos!W22)/Datos!W22),(Datos!M22-Datos!W22)/Datos!W22," - ")</f>
        <v xml:space="preserve"> - </v>
      </c>
      <c r="I22" s="396" t="str">
        <f>IF(ISNUMBER((Tasas!C22-Datos!BE22)/Datos!BE22),(Tasas!C22-Datos!BE22)/Datos!BE22," - ")</f>
        <v xml:space="preserve"> - </v>
      </c>
      <c r="J22" s="395" t="str">
        <f>IF(ISNUMBER((Tasas!D22-Datos!BF22)/Datos!BF22),(Tasas!D22-Datos!BF22)/Datos!BF22," - ")</f>
        <v xml:space="preserve"> - </v>
      </c>
      <c r="K22" s="397" t="str">
        <f>IF(ISNUMBER((Tasas!E22-Datos!BG22)/Datos!BG22),(Tasas!E22-Datos!BG22)/Datos!BG22," - ")</f>
        <v xml:space="preserve"> - </v>
      </c>
    </row>
    <row r="23" spans="2:20" ht="16.5" hidden="1" thickTop="1" thickBot="1">
      <c r="B23" s="191"/>
      <c r="C23" s="75" t="str">
        <f>Datos!A23</f>
        <v>TOTAL</v>
      </c>
      <c r="D23" s="399">
        <f>IF(ISNUMBER(
   IF(D_I="SI",(Datos!I23-Datos!S23)/Datos!S23,(Datos!I23+Datos!AC23-(Datos!S23+Datos!AK23))/(Datos!S23+Datos!AK23))
     ),IF(D_I="SI",(Datos!I23-Datos!S23)/Datos!S23,(Datos!I23+Datos!AC23-(Datos!S23+Datos!AK23))/(Datos!S23+Datos!AK23))," - ")</f>
        <v>0.18427095292766935</v>
      </c>
      <c r="E23" s="400">
        <f>IF(ISNUMBER(
   IF(D_I="SI",(Datos!J23-Datos!T23)/Datos!T23,(Datos!J23+Datos!AD23-(Datos!T23+Datos!AL23))/(Datos!T23+Datos!AL23))
     ),IF(D_I="SI",(Datos!J23-Datos!T23)/Datos!T23,(Datos!J23+Datos!AD23-(Datos!T23+Datos!AL23))/(Datos!T23+Datos!AL23))," - ")</f>
        <v>0.14987005045100138</v>
      </c>
      <c r="F23" s="400">
        <f>IF(ISNUMBER(
   IF(D_I="SI",(Datos!K23-Datos!U23)/Datos!U23,(Datos!K23+Datos!AE23-(Datos!U23+Datos!AM23))/(Datos!U23+Datos!AM23))
     ),IF(D_I="SI",(Datos!K23-Datos!U23)/Datos!U23,(Datos!K23+Datos!AE23-(Datos!U23+Datos!AM23))/(Datos!U23+Datos!AM23))," - ")</f>
        <v>0.17638636573575145</v>
      </c>
      <c r="G23" s="401">
        <f>IF(ISNUMBER(
   IF(D_I="SI",(Datos!L23-Datos!V23)/Datos!V23,(Datos!L23+Datos!AF23-(Datos!V23+Datos!AN23))/(Datos!V23+Datos!AN23))
     ),IF(D_I="SI",(Datos!L23-Datos!V23)/Datos!V23,(Datos!L23+Datos!AF23-(Datos!V23+Datos!AN23))/(Datos!V23+Datos!AN23))," - ")</f>
        <v>-7.9172725803845531E-2</v>
      </c>
      <c r="H23" s="402">
        <f>IF(ISNUMBER((Datos!M23-Datos!W23)/Datos!W23),(Datos!M23-Datos!W23)/Datos!W23," - ")</f>
        <v>0.37091162143354212</v>
      </c>
      <c r="I23" s="403">
        <f>IF(ISNUMBER((Tasas!C23-Datos!BE23)/Datos!BE23),(Tasas!C23-Datos!BE23)/Datos!BE23," - ")</f>
        <v>-0.21724077988591931</v>
      </c>
      <c r="J23" s="401">
        <f>IF(ISNUMBER((Tasas!D23-Datos!BF23)/Datos!BF23),(Tasas!D23-Datos!BF23)/Datos!BF23," - ")</f>
        <v>0.16535830519943834</v>
      </c>
      <c r="K23" s="404">
        <f>IF(ISNUMBER((Tasas!E23-Datos!BG23)/Datos!BG23),(Tasas!E23-Datos!BG23)/Datos!BG23," - ")</f>
        <v>-2.0376950452086547E-2</v>
      </c>
      <c r="M23" t="e">
        <f>IF(Monitorios="SI",Datos!CE23,0)</f>
        <v>#REF!</v>
      </c>
      <c r="N23" t="e">
        <f>IF(Monitorios="SI",Datos!CF23,0)</f>
        <v>#REF!</v>
      </c>
      <c r="O23" t="e">
        <f>IF(Monitorios="SI",Datos!CG23,0)</f>
        <v>#REF!</v>
      </c>
      <c r="P23" t="e">
        <f>IF(Monitorios="SI",Datos!CH23,0)</f>
        <v>#REF!</v>
      </c>
      <c r="Q23">
        <f>IF(J_V="SI",0,Datos!AG23)</f>
        <v>0</v>
      </c>
      <c r="R23">
        <f>IF(J_V="SI",0,Datos!AH23)</f>
        <v>0</v>
      </c>
      <c r="S23">
        <f>IF(J_V="SI",0,Datos!AI23)</f>
        <v>0</v>
      </c>
      <c r="T23">
        <f>IF(J_V="SI",0,Datos!AJ23)</f>
        <v>0</v>
      </c>
    </row>
    <row r="24" spans="2:20" ht="15" thickTop="1">
      <c r="B24" s="192"/>
      <c r="C24" s="73" t="str">
        <f>Datos!A24</f>
        <v xml:space="preserve">Jurisdicción Cont.-Admva.:                      </v>
      </c>
      <c r="D24" s="271"/>
      <c r="E24" s="270"/>
      <c r="F24" s="270"/>
      <c r="G24" s="270"/>
      <c r="H24" s="295"/>
      <c r="I24" s="270"/>
      <c r="J24" s="270"/>
      <c r="K24" s="314"/>
    </row>
    <row r="25" spans="2:20" ht="15" thickBot="1">
      <c r="B25" s="300" t="s">
        <v>516</v>
      </c>
      <c r="C25" s="7" t="str">
        <f>Datos!A25</f>
        <v xml:space="preserve">Jdos Cont.-Admvo.                               </v>
      </c>
      <c r="D25" s="398" t="str">
        <f>IF(ISNUMBER((Datos!I25-Datos!S25)/Datos!S25),(Datos!I25-Datos!S25)/Datos!S25," - ")</f>
        <v xml:space="preserve"> - </v>
      </c>
      <c r="E25" s="394" t="str">
        <f>IF(ISNUMBER((Datos!J25-Datos!T25)/Datos!T25),(Datos!J25-Datos!T25)/Datos!T25," - ")</f>
        <v xml:space="preserve"> - </v>
      </c>
      <c r="F25" s="394" t="str">
        <f>IF(ISNUMBER((Datos!K25-Datos!U25)/Datos!U25),(Datos!K25-Datos!U25)/Datos!U25," - ")</f>
        <v xml:space="preserve"> - </v>
      </c>
      <c r="G25" s="395" t="str">
        <f>IF(ISNUMBER((Datos!L25-Datos!V25)/Datos!V25),(Datos!L25-Datos!V25)/Datos!V25," - ")</f>
        <v xml:space="preserve"> - </v>
      </c>
      <c r="H25" s="244" t="str">
        <f>IF(ISNUMBER((Datos!M25-Datos!W25)/Datos!W25),(Datos!M25-Datos!W25)/Datos!W25," - ")</f>
        <v xml:space="preserve"> - </v>
      </c>
      <c r="I25" s="396" t="str">
        <f>IF(ISNUMBER((Tasas!C25-Datos!BE25)/Datos!BE25),(Tasas!C25-Datos!BE25)/Datos!BE25," - ")</f>
        <v xml:space="preserve"> - </v>
      </c>
      <c r="J25" s="395" t="str">
        <f>IF(ISNUMBER((Tasas!D25-Datos!BF25)/Datos!BF25),(Tasas!D25-Datos!BF25)/Datos!BF25," - ")</f>
        <v xml:space="preserve"> - </v>
      </c>
      <c r="K25" s="397" t="str">
        <f>IF(ISNUMBER((Tasas!E25-Datos!BG25)/Datos!BG25),(Tasas!E25-Datos!BG25)/Datos!BG25," - ")</f>
        <v xml:space="preserve"> - </v>
      </c>
    </row>
    <row r="26" spans="2:20" ht="16.5" hidden="1" thickTop="1" thickBot="1">
      <c r="B26" s="191"/>
      <c r="C26" s="75" t="str">
        <f>Datos!A26</f>
        <v>TOTAL</v>
      </c>
      <c r="D26" s="399" t="str">
        <f>IF(ISNUMBER((Datos!I26-Datos!S26)/Datos!S26),(Datos!I26-Datos!S26)/Datos!S26," - ")</f>
        <v xml:space="preserve"> - </v>
      </c>
      <c r="E26" s="400" t="str">
        <f>IF(ISNUMBER((Datos!J26-Datos!T26)/Datos!T26),(Datos!J26-Datos!T26)/Datos!T26," - ")</f>
        <v xml:space="preserve"> - </v>
      </c>
      <c r="F26" s="400" t="str">
        <f>IF(ISNUMBER((Datos!K26-Datos!U26)/Datos!U26),(Datos!K26-Datos!U26)/Datos!U26," - ")</f>
        <v xml:space="preserve"> - </v>
      </c>
      <c r="G26" s="401" t="str">
        <f>IF(ISNUMBER((Datos!L26-Datos!V26)/Datos!V26),(Datos!L26-Datos!V26)/Datos!V26," - ")</f>
        <v xml:space="preserve"> - </v>
      </c>
      <c r="H26" s="402" t="str">
        <f>IF(ISNUMBER((Datos!M26-Datos!W26)/Datos!W26),(Datos!M26-Datos!W26)/Datos!W26," - ")</f>
        <v xml:space="preserve"> - </v>
      </c>
      <c r="I26" s="403" t="str">
        <f>IF(ISNUMBER((Tasas!C26-Datos!BE26)/Datos!BE26),(Tasas!C26-Datos!BE26)/Datos!BE26," - ")</f>
        <v xml:space="preserve"> - </v>
      </c>
      <c r="J26" s="401" t="str">
        <f>IF(ISNUMBER((Tasas!D26-Datos!BF26)/Datos!BF26),(Tasas!D26-Datos!BF26)/Datos!BF26," - ")</f>
        <v xml:space="preserve"> - </v>
      </c>
      <c r="K26" s="404" t="str">
        <f>IF(ISNUMBER((Tasas!E26-Datos!BG26)/Datos!BG26),(Tasas!E26-Datos!BG26)/Datos!BG26," - ")</f>
        <v xml:space="preserve"> - </v>
      </c>
      <c r="M26" t="e">
        <f>IF(Monitorios="SI",Datos!CE26,0)</f>
        <v>#REF!</v>
      </c>
      <c r="N26" t="e">
        <f>IF(Monitorios="SI",Datos!CF26,0)</f>
        <v>#REF!</v>
      </c>
      <c r="O26" t="e">
        <f>IF(Monitorios="SI",Datos!CG26,0)</f>
        <v>#REF!</v>
      </c>
      <c r="P26" t="e">
        <f>IF(Monitorios="SI",Datos!CH26,0)</f>
        <v>#REF!</v>
      </c>
      <c r="Q26">
        <f>IF(J_V="SI",0,Datos!AG26)</f>
        <v>0</v>
      </c>
      <c r="R26">
        <f>IF(J_V="SI",0,Datos!AH26)</f>
        <v>0</v>
      </c>
      <c r="S26">
        <f>IF(J_V="SI",0,Datos!AI26)</f>
        <v>0</v>
      </c>
      <c r="T26">
        <f>IF(J_V="SI",0,Datos!AJ26)</f>
        <v>0</v>
      </c>
    </row>
    <row r="27" spans="2:20" ht="15" thickTop="1">
      <c r="B27" s="192"/>
      <c r="C27" s="73" t="str">
        <f>Datos!A27</f>
        <v xml:space="preserve">Jurisdicción Social:                            </v>
      </c>
      <c r="D27" s="269"/>
      <c r="E27" s="270"/>
      <c r="F27" s="270"/>
      <c r="G27" s="270"/>
      <c r="H27" s="295"/>
      <c r="I27" s="270"/>
      <c r="J27" s="270"/>
      <c r="K27" s="314"/>
    </row>
    <row r="28" spans="2:20" ht="14.25">
      <c r="B28" s="300" t="s">
        <v>517</v>
      </c>
      <c r="C28" s="7" t="str">
        <f>Datos!A28</f>
        <v xml:space="preserve">Jdos. de lo Social                              </v>
      </c>
      <c r="D28" s="398" t="str">
        <f>IF(ISNUMBER((Datos!I28-Datos!S28)/Datos!S28),(Datos!I28-Datos!S28)/Datos!S28," - ")</f>
        <v xml:space="preserve"> - </v>
      </c>
      <c r="E28" s="394" t="str">
        <f>IF(ISNUMBER((Datos!J28-Datos!T28)/Datos!T28),(Datos!J28-Datos!T28)/Datos!T28," - ")</f>
        <v xml:space="preserve"> - </v>
      </c>
      <c r="F28" s="394" t="str">
        <f>IF(ISNUMBER((Datos!K28-Datos!U28)/Datos!U28),(Datos!K28-Datos!U28)/Datos!U28," - ")</f>
        <v xml:space="preserve"> - </v>
      </c>
      <c r="G28" s="395" t="str">
        <f>IF(ISNUMBER((Datos!L28-Datos!V28)/Datos!V28),(Datos!L28-Datos!V28)/Datos!V28," - ")</f>
        <v xml:space="preserve"> - </v>
      </c>
      <c r="H28" s="244" t="str">
        <f>IF(ISNUMBER((Datos!M28-Datos!W28)/Datos!W28),(Datos!M28-Datos!W28)/Datos!W28," - ")</f>
        <v xml:space="preserve"> - </v>
      </c>
      <c r="I28" s="396" t="str">
        <f>IF(ISNUMBER((Tasas!C28-Datos!BE28)/Datos!BE28),(Tasas!C28-Datos!BE28)/Datos!BE28," - ")</f>
        <v xml:space="preserve"> - </v>
      </c>
      <c r="J28" s="395" t="str">
        <f>IF(ISNUMBER((Tasas!D28-Datos!BF28)/Datos!BF28),(Tasas!D28-Datos!BF28)/Datos!BF28," - ")</f>
        <v xml:space="preserve"> - </v>
      </c>
      <c r="K28" s="397" t="str">
        <f>IF(ISNUMBER((Tasas!E28-Datos!BG28)/Datos!BG28),(Tasas!E28-Datos!BG28)/Datos!BG28," - ")</f>
        <v xml:space="preserve"> - </v>
      </c>
      <c r="M28" t="e">
        <f>IF(Monitorios="SI",Datos!CE28,0)</f>
        <v>#REF!</v>
      </c>
      <c r="N28" t="e">
        <f>IF(Monitorios="SI",Datos!CF28,0)</f>
        <v>#REF!</v>
      </c>
      <c r="O28" t="e">
        <f>IF(Monitorios="SI",Datos!CG28,0)</f>
        <v>#REF!</v>
      </c>
      <c r="P28" t="e">
        <f>IF(Monitorios="SI",Datos!CH28,0)</f>
        <v>#REF!</v>
      </c>
      <c r="Q28">
        <f>IF(J_V="SI",0,Datos!AG28)</f>
        <v>0</v>
      </c>
      <c r="R28">
        <f>IF(J_V="SI",0,Datos!AH28)</f>
        <v>0</v>
      </c>
      <c r="S28">
        <f>IF(J_V="SI",0,Datos!AI28)</f>
        <v>0</v>
      </c>
      <c r="T28">
        <f>IF(J_V="SI",0,Datos!AJ28)</f>
        <v>0</v>
      </c>
    </row>
    <row r="29" spans="2:20" ht="15" thickBot="1">
      <c r="B29" s="300" t="s">
        <v>517</v>
      </c>
      <c r="C29" s="7" t="str">
        <f>Datos!A29</f>
        <v>Jdos. De lo Social de Ejecuciones</v>
      </c>
      <c r="D29" s="398" t="str">
        <f>IF(ISNUMBER((Datos!I29-Datos!S29)/Datos!S29),(Datos!I29-Datos!S29)/Datos!S29," - ")</f>
        <v xml:space="preserve"> - </v>
      </c>
      <c r="E29" s="394" t="str">
        <f>IF(ISNUMBER((Datos!J29-Datos!T29)/Datos!T29),(Datos!J29-Datos!T29)/Datos!T29," - ")</f>
        <v xml:space="preserve"> - </v>
      </c>
      <c r="F29" s="394" t="str">
        <f>IF(ISNUMBER((Datos!K29-Datos!U29)/Datos!U29),(Datos!K29-Datos!U29)/Datos!U29," - ")</f>
        <v xml:space="preserve"> - </v>
      </c>
      <c r="G29" s="395" t="str">
        <f>IF(ISNUMBER((Datos!L29-Datos!V29)/Datos!V29),(Datos!L29-Datos!V29)/Datos!V29," - ")</f>
        <v xml:space="preserve"> - </v>
      </c>
      <c r="H29" s="244" t="str">
        <f>IF(ISNUMBER((Datos!M29-Datos!W29)/Datos!W29),(Datos!M29-Datos!W29)/Datos!W29," - ")</f>
        <v xml:space="preserve"> - </v>
      </c>
      <c r="I29" s="396" t="str">
        <f>IF(ISNUMBER((Tasas!C29-Datos!BE29)/Datos!BE29),(Tasas!C29-Datos!BE29)/Datos!BE29," - ")</f>
        <v xml:space="preserve"> - </v>
      </c>
      <c r="J29" s="395" t="str">
        <f>IF(ISNUMBER((Tasas!D29-Datos!BF29)/Datos!BF29),(Tasas!D29-Datos!BF29)/Datos!BF29," - ")</f>
        <v xml:space="preserve"> - </v>
      </c>
      <c r="K29" s="397" t="str">
        <f>IF(ISNUMBER((Tasas!E29-Datos!BG29)/Datos!BG29),(Tasas!E29-Datos!BG29)/Datos!BG29," - ")</f>
        <v xml:space="preserve"> - </v>
      </c>
      <c r="M29" t="e">
        <f>IF(Monitorios="SI",0,Datos!CE29)</f>
        <v>#REF!</v>
      </c>
      <c r="N29" t="e">
        <f>IF(Monitorios="SI",0,Datos!CF29)</f>
        <v>#REF!</v>
      </c>
      <c r="O29" t="e">
        <f>IF(Monitorios="SI",0,Datos!CG29)</f>
        <v>#REF!</v>
      </c>
      <c r="P29" t="e">
        <f>IF(Monitorios="SI",0,Datos!CH29)</f>
        <v>#REF!</v>
      </c>
      <c r="Q29">
        <f>IF(J_V="SI",0,Datos!AG29)</f>
        <v>0</v>
      </c>
      <c r="R29">
        <f>IF(J_V="SI",0,Datos!AH29)</f>
        <v>0</v>
      </c>
      <c r="S29">
        <f>IF(J_V="SI",0,Datos!AI29)</f>
        <v>0</v>
      </c>
      <c r="T29">
        <f>IF(J_V="SI",0,Datos!AJ29)</f>
        <v>0</v>
      </c>
    </row>
    <row r="30" spans="2:20" ht="16.5" thickTop="1" thickBot="1">
      <c r="B30" s="191"/>
      <c r="C30" s="1110" t="str">
        <f>Datos!A30</f>
        <v>TOTAL</v>
      </c>
      <c r="D30" s="1111" t="str">
        <f>IF(ISNUMBER((Datos!I30-Datos!S30)/Datos!S30),(Datos!I30-Datos!S30)/Datos!S30," - ")</f>
        <v xml:space="preserve"> - </v>
      </c>
      <c r="E30" s="1112" t="str">
        <f>IF(ISNUMBER((Datos!J30-Datos!T30)/Datos!T30),(Datos!J30-Datos!T30)/Datos!T30," - ")</f>
        <v xml:space="preserve"> - </v>
      </c>
      <c r="F30" s="1112" t="str">
        <f>IF(ISNUMBER((Datos!K30-Datos!U30)/Datos!U30),(Datos!K30-Datos!U30)/Datos!U30," - ")</f>
        <v xml:space="preserve"> - </v>
      </c>
      <c r="G30" s="1113" t="str">
        <f>IF(ISNUMBER((Datos!L30-Datos!V30)/Datos!V30),(Datos!L30-Datos!V30)/Datos!V30," - ")</f>
        <v xml:space="preserve"> - </v>
      </c>
      <c r="H30" s="1114" t="str">
        <f>IF(ISNUMBER((Datos!M30-Datos!W30)/Datos!W30),(Datos!M30-Datos!W30)/Datos!W30," - ")</f>
        <v xml:space="preserve"> - </v>
      </c>
      <c r="I30" s="1115" t="str">
        <f>IF(ISNUMBER((Tasas!C30-Datos!BE30)/Datos!BE30),(Tasas!C30-Datos!BE30)/Datos!BE30," - ")</f>
        <v xml:space="preserve"> - </v>
      </c>
      <c r="J30" s="1113" t="str">
        <f>IF(ISNUMBER((Tasas!D30-Datos!BF30)/Datos!BF30),(Tasas!D30-Datos!BF30)/Datos!BF30," - ")</f>
        <v xml:space="preserve"> - </v>
      </c>
      <c r="K30" s="1116" t="str">
        <f>IF(ISNUMBER((Tasas!E30-Datos!BG30)/Datos!BG30),(Tasas!E30-Datos!BG30)/Datos!BG30," - ")</f>
        <v xml:space="preserve"> - </v>
      </c>
      <c r="M30" t="e">
        <f>IF(Monitorios="SI",Datos!CE30,0)</f>
        <v>#REF!</v>
      </c>
      <c r="N30" t="e">
        <f>IF(Monitorios="SI",Datos!CF30,0)</f>
        <v>#REF!</v>
      </c>
      <c r="O30" t="e">
        <f>IF(Monitorios="SI",Datos!CG30,0)</f>
        <v>#REF!</v>
      </c>
      <c r="P30" t="e">
        <f>IF(Monitorios="SI",Datos!CH30,0)</f>
        <v>#REF!</v>
      </c>
      <c r="Q30">
        <f>IF(J_V="SI",0,Datos!AG30)</f>
        <v>0</v>
      </c>
      <c r="R30">
        <f>IF(J_V="SI",0,Datos!AH30)</f>
        <v>0</v>
      </c>
      <c r="S30">
        <f>IF(J_V="SI",0,Datos!AI30)</f>
        <v>0</v>
      </c>
      <c r="T30">
        <f>IF(J_V="SI",0,Datos!AJ30)</f>
        <v>0</v>
      </c>
    </row>
    <row r="31" spans="2:20" ht="15.75" hidden="1" customHeight="1" thickBot="1">
      <c r="B31" s="185"/>
      <c r="C31" s="185" t="str">
        <f>Datos!A31</f>
        <v>TOTAL JURISDICCIONES</v>
      </c>
      <c r="D31" s="409">
        <f>IF(ISNUMBER(
   IF(J_V="SI",(Datos!I31-Datos!S31)/Datos!S31,(Datos!I31+Datos!Y31-(Datos!S31+Datos!AG31))/(Datos!S31+Datos!AG31))
     ),IF(J_V="SI",(Datos!I31-Datos!S31)/Datos!S31,(Datos!I31+Datos!Y31-(Datos!S31+Datos!AG31))/(Datos!S31+Datos!AG31))," - ")</f>
        <v>9.0038250457342428E-2</v>
      </c>
      <c r="E31" s="410">
        <f>IF(ISNUMBER(
   IF(J_V="SI",(Datos!J31-Datos!T31)/Datos!T31,(Datos!J31+Datos!Z31-(Datos!T31+Datos!AH31))/(Datos!T31+Datos!AH31))
     ),IF(J_V="SI",(Datos!J31-Datos!T31)/Datos!T31,(Datos!J31+Datos!Z31-(Datos!T31+Datos!AH31))/(Datos!T31+Datos!AH31))," - ")</f>
        <v>0.15044487689641484</v>
      </c>
      <c r="F31" s="410">
        <f>IF(ISNUMBER(
   IF(J_V="SI",(Datos!K31-Datos!U31)/Datos!U31,(Datos!K31+Datos!AA31-(Datos!U31+Datos!AI31))/(Datos!U31+Datos!AI31))
     ),IF(J_V="SI",(Datos!K31-Datos!U31)/Datos!U31,(Datos!K31+Datos!AA31-(Datos!U31+Datos!AI31))/(Datos!U31+Datos!AI31))," - ")</f>
        <v>0.20359779145475054</v>
      </c>
      <c r="G31" s="411">
        <f>IF(ISNUMBER(
   IF(J_V="SI",(Datos!L31-Datos!V31)/Datos!V31,(Datos!L31+Datos!AB31-(Datos!V31+Datos!AJ31))/(Datos!V31+Datos!AJ31))
     ),IF(J_V="SI",(Datos!L31-Datos!V31)/Datos!V31,(Datos!L31+Datos!AB31-(Datos!V31+Datos!AJ31))/(Datos!V31+Datos!AJ31))," - ")</f>
        <v>-1.000854387892103E-2</v>
      </c>
      <c r="H31" s="412">
        <f>IF(ISNUMBER((Datos!M31-Datos!W31)/Datos!W31),(Datos!M31-Datos!W31)/Datos!W31," - ")</f>
        <v>0.41654767570997936</v>
      </c>
      <c r="I31" s="409">
        <f>IF(ISNUMBER((Tasas!C31-Datos!BE31)/Datos!BE31),(Tasas!C31-Datos!BE31)/Datos!BE31," - ")</f>
        <v>-0.17747318651647934</v>
      </c>
      <c r="J31" s="410">
        <f>IF(ISNUMBER((Tasas!D31-Datos!BF31)/Datos!BF31),(Tasas!D31-Datos!BF31)/Datos!BF31," - ")</f>
        <v>-0.35169973413987848</v>
      </c>
      <c r="K31" s="411">
        <f>IF(ISNUMBER((Tasas!E31-Datos!BG31)/Datos!BG31),(Tasas!E31-Datos!BG31)/Datos!BG31," - ")</f>
        <v>-5.5476960448937622E-2</v>
      </c>
    </row>
    <row r="32" spans="2:20" ht="15.75" customHeight="1" thickTop="1" thickBot="1">
      <c r="B32" s="180"/>
      <c r="C32" s="1105" t="s">
        <v>344</v>
      </c>
      <c r="D32" s="1106">
        <f t="shared" ref="D32:K32" ca="1" si="0">IF(ISNUMBER(SUMIF($B8:$B30,$B32,D8:D30)/INDIRECT("Datos!AP"&amp;ROW()-1)),SUMIF($B8:$B30,$B32,D8:D30)/INDIRECT("Datos!AP"&amp;ROW()-1),"-")</f>
        <v>0</v>
      </c>
      <c r="E32" s="1107">
        <f t="shared" ca="1" si="0"/>
        <v>0</v>
      </c>
      <c r="F32" s="1107">
        <f t="shared" ca="1" si="0"/>
        <v>0</v>
      </c>
      <c r="G32" s="1108">
        <f t="shared" ca="1" si="0"/>
        <v>0</v>
      </c>
      <c r="H32" s="1109">
        <f t="shared" ca="1" si="0"/>
        <v>0</v>
      </c>
      <c r="I32" s="1106">
        <f t="shared" ca="1" si="0"/>
        <v>0</v>
      </c>
      <c r="J32" s="1107">
        <f t="shared" ca="1" si="0"/>
        <v>0</v>
      </c>
      <c r="K32" s="1108">
        <f t="shared" ca="1" si="0"/>
        <v>0</v>
      </c>
    </row>
    <row r="33" spans="2:13" ht="15.75" hidden="1" customHeight="1" thickTop="1" thickBot="1">
      <c r="B33" s="181"/>
      <c r="C33" s="181" t="s">
        <v>345</v>
      </c>
      <c r="D33" s="302">
        <f t="shared" ref="D33:K33" si="1">IF(ISNUMBER( STDEV(D8:D30)),STDEV(D8:D30)," - ")</f>
        <v>7.8562899014329779E-2</v>
      </c>
      <c r="E33" s="303">
        <f t="shared" si="1"/>
        <v>0.14221903017645166</v>
      </c>
      <c r="F33" s="303">
        <f t="shared" si="1"/>
        <v>8.1807283754988649E-2</v>
      </c>
      <c r="G33" s="304">
        <f t="shared" si="1"/>
        <v>6.593956882329878E-2</v>
      </c>
      <c r="H33" s="310">
        <f t="shared" si="1"/>
        <v>9.0918467729227875E-2</v>
      </c>
      <c r="I33" s="302">
        <f t="shared" si="1"/>
        <v>9.248217339620822E-2</v>
      </c>
      <c r="J33" s="303">
        <f t="shared" si="1"/>
        <v>0.46262852071309696</v>
      </c>
      <c r="K33" s="304">
        <f t="shared" si="1"/>
        <v>6.489940945767253E-2</v>
      </c>
    </row>
    <row r="34" spans="2:13" ht="13.5" thickTop="1">
      <c r="C34" s="1665"/>
      <c r="D34" s="1665"/>
      <c r="E34" s="74"/>
      <c r="F34" s="74"/>
      <c r="G34" s="74"/>
    </row>
    <row r="35" spans="2:13">
      <c r="C35" s="319"/>
      <c r="D35" s="301"/>
      <c r="E35" s="301"/>
      <c r="F35" s="301"/>
      <c r="G35" s="301"/>
      <c r="H35" s="301"/>
      <c r="I35" s="321"/>
      <c r="J35" s="321"/>
      <c r="K35" s="321"/>
    </row>
    <row r="36" spans="2:13">
      <c r="C36" s="320"/>
      <c r="D36" s="301"/>
      <c r="E36" s="301"/>
      <c r="F36" s="301"/>
      <c r="G36" s="301"/>
      <c r="H36" s="301"/>
      <c r="I36" s="321"/>
      <c r="J36" s="321"/>
      <c r="K36" s="321"/>
    </row>
    <row r="37" spans="2:13" hidden="1">
      <c r="C37" s="7" t="s">
        <v>342</v>
      </c>
      <c r="D37" s="177">
        <f>D35+2*D36</f>
        <v>0</v>
      </c>
      <c r="E37" s="178">
        <f t="shared" ref="E37:K37" si="2">E35+2*E36</f>
        <v>0</v>
      </c>
      <c r="F37" s="178">
        <f t="shared" si="2"/>
        <v>0</v>
      </c>
      <c r="G37" s="178">
        <f t="shared" si="2"/>
        <v>0</v>
      </c>
      <c r="H37" s="296">
        <f t="shared" si="2"/>
        <v>0</v>
      </c>
      <c r="I37" s="178">
        <f t="shared" si="2"/>
        <v>0</v>
      </c>
      <c r="J37" s="163">
        <f t="shared" si="2"/>
        <v>0</v>
      </c>
      <c r="K37" s="179">
        <f t="shared" si="2"/>
        <v>0</v>
      </c>
    </row>
    <row r="38" spans="2:13" hidden="1">
      <c r="C38" s="7" t="s">
        <v>343</v>
      </c>
      <c r="D38" s="177">
        <f>MIN(0,D35-2*D36)</f>
        <v>0</v>
      </c>
      <c r="E38" s="178">
        <f t="shared" ref="E38:K38" si="3">MIN(0,E35-2*E36)</f>
        <v>0</v>
      </c>
      <c r="F38" s="178">
        <f t="shared" si="3"/>
        <v>0</v>
      </c>
      <c r="G38" s="178">
        <f t="shared" si="3"/>
        <v>0</v>
      </c>
      <c r="H38" s="178">
        <f t="shared" si="3"/>
        <v>0</v>
      </c>
      <c r="I38" s="178">
        <f t="shared" si="3"/>
        <v>0</v>
      </c>
      <c r="J38" s="163">
        <f t="shared" si="3"/>
        <v>0</v>
      </c>
      <c r="K38" s="179">
        <f t="shared" si="3"/>
        <v>0</v>
      </c>
    </row>
    <row r="42" spans="2:13" ht="12.75" customHeight="1">
      <c r="C42" s="130" t="str">
        <f>Criterios!A4</f>
        <v>Fecha Informe: 05 abr. 2022</v>
      </c>
      <c r="D42" s="159"/>
      <c r="E42" s="159"/>
      <c r="F42" s="159"/>
      <c r="G42" s="159"/>
      <c r="H42" s="159"/>
      <c r="I42" s="159"/>
      <c r="J42" s="159"/>
      <c r="K42" s="159"/>
      <c r="L42" s="159"/>
      <c r="M42" s="159"/>
    </row>
    <row r="43" spans="2:13" ht="12.75" customHeight="1">
      <c r="C43" s="159"/>
      <c r="D43" s="159"/>
      <c r="E43" s="159"/>
      <c r="F43" s="159"/>
      <c r="G43" s="159"/>
      <c r="H43" s="159"/>
      <c r="I43" s="159"/>
      <c r="J43" s="159"/>
      <c r="K43" s="159"/>
      <c r="L43" s="159"/>
      <c r="M43" s="159"/>
    </row>
    <row r="44" spans="2:13" ht="12.75" customHeight="1">
      <c r="C44" s="159"/>
      <c r="D44" s="159"/>
      <c r="E44" s="159"/>
      <c r="F44" s="159"/>
      <c r="G44" s="159"/>
      <c r="H44" s="159"/>
      <c r="I44" s="159"/>
      <c r="J44" s="159"/>
      <c r="K44" s="159"/>
      <c r="L44" s="159"/>
      <c r="M44" s="159"/>
    </row>
    <row r="45" spans="2:13" ht="12.75" customHeight="1">
      <c r="C45" s="159"/>
      <c r="D45" s="159"/>
      <c r="E45" s="159"/>
      <c r="F45" s="159"/>
      <c r="G45" s="159"/>
      <c r="H45" s="159"/>
      <c r="I45" s="159"/>
      <c r="J45" s="159"/>
      <c r="K45" s="159"/>
      <c r="L45" s="159"/>
      <c r="M45" s="159"/>
    </row>
  </sheetData>
  <sheetProtection algorithmName="SHA-512" hashValue="+FUcJzd0nFVV0561EdzNYMQc4ANioG2QXL99Qi7jkR77UU4H267AMJUBZwXgQjcqHCvRvUBl0bJrmneRyU+pgA==" saltValue="b48ZKytdBZ3520FR3Aafgg==" spinCount="100000" sheet="1" objects="1" scenarios="1"/>
  <mergeCells count="18">
    <mergeCell ref="J5:J7"/>
    <mergeCell ref="K5:K7"/>
    <mergeCell ref="C34:D34"/>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45</vt:i4>
      </vt:variant>
    </vt:vector>
  </HeadingPairs>
  <TitlesOfParts>
    <vt:vector size="52" baseType="lpstr">
      <vt:lpstr>Criterios</vt:lpstr>
      <vt:lpstr>NºAsuntos</vt:lpstr>
      <vt:lpstr>Resol  Asuntos</vt:lpstr>
      <vt:lpstr>Ejecu  Sentencias</vt:lpstr>
      <vt:lpstr>Evolución</vt:lpstr>
      <vt:lpstr>Tasas</vt:lpstr>
      <vt:lpstr>Definiciones</vt:lpstr>
      <vt:lpstr>DatosB!_Toc505678886</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2022-04-05T09:28:09Z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